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9320" windowHeight="11580"/>
  </bookViews>
  <sheets>
    <sheet name="Горняцкая д.3-а" sheetId="2" r:id="rId1"/>
    <sheet name="Горняцкая д.4" sheetId="3" r:id="rId2"/>
    <sheet name="Горняцкая д.5-а" sheetId="4" r:id="rId3"/>
    <sheet name="Горняцкая д.6" sheetId="6" r:id="rId4"/>
    <sheet name="Клубная д. 1" sheetId="7" r:id="rId5"/>
    <sheet name="Клубная д.2" sheetId="8" r:id="rId6"/>
    <sheet name="Клубная д.3" sheetId="9" r:id="rId7"/>
    <sheet name="Клубная д.8" sheetId="10" r:id="rId8"/>
    <sheet name="Клубная д.9" sheetId="11" r:id="rId9"/>
    <sheet name="Клубная д.15" sheetId="12" r:id="rId10"/>
    <sheet name="Клубная д.16" sheetId="13" r:id="rId11"/>
    <sheet name="Клубная д.17" sheetId="14" r:id="rId12"/>
    <sheet name="Клубная д.18" sheetId="15" r:id="rId13"/>
    <sheet name="Клубная д.25" sheetId="16" r:id="rId14"/>
    <sheet name="Клубная д.28" sheetId="17" r:id="rId15"/>
    <sheet name="Школьная д.2" sheetId="18" r:id="rId16"/>
    <sheet name="Новая д.1" sheetId="30" r:id="rId17"/>
    <sheet name="Новая д.4" sheetId="25" r:id="rId18"/>
    <sheet name="Новая д.5" sheetId="26" r:id="rId19"/>
    <sheet name="Новая д. 7" sheetId="28" r:id="rId20"/>
    <sheet name="Новая д.8" sheetId="29" r:id="rId21"/>
    <sheet name="Новая д.9" sheetId="24" r:id="rId22"/>
    <sheet name="Новая д.10" sheetId="23" r:id="rId23"/>
    <sheet name="Новая д.11" sheetId="22" r:id="rId24"/>
    <sheet name="Новая д.16 а)" sheetId="21" r:id="rId25"/>
    <sheet name="Новая д.31" sheetId="20" r:id="rId26"/>
    <sheet name="Новая д.34" sheetId="19" r:id="rId27"/>
  </sheets>
  <calcPr calcId="144525"/>
</workbook>
</file>

<file path=xl/calcChain.xml><?xml version="1.0" encoding="utf-8"?>
<calcChain xmlns="http://schemas.openxmlformats.org/spreadsheetml/2006/main">
  <c r="I6" i="19" l="1"/>
  <c r="I6" i="20"/>
  <c r="I6" i="21"/>
  <c r="I6" i="22"/>
  <c r="I6" i="23"/>
  <c r="I6" i="24"/>
  <c r="I6" i="29"/>
  <c r="I6" i="28"/>
  <c r="I6" i="26"/>
  <c r="I6" i="25"/>
  <c r="I6" i="30"/>
  <c r="I6" i="18"/>
  <c r="I6" i="17"/>
  <c r="I6" i="16"/>
  <c r="I6" i="15"/>
  <c r="I6" i="14"/>
  <c r="I6" i="13"/>
  <c r="I6" i="12"/>
  <c r="I6" i="11"/>
  <c r="I6" i="10"/>
  <c r="I6" i="9"/>
  <c r="I6" i="8"/>
  <c r="I6" i="7"/>
  <c r="I6" i="6" l="1"/>
  <c r="I6" i="4"/>
  <c r="I6" i="3"/>
  <c r="I6" i="2"/>
  <c r="L6" i="2"/>
  <c r="N6" i="2" s="1"/>
  <c r="H6" i="2"/>
  <c r="E21" i="7"/>
  <c r="F21" i="7"/>
  <c r="G21" i="7"/>
  <c r="H21" i="7"/>
  <c r="D21" i="7"/>
  <c r="E21" i="8"/>
  <c r="F21" i="8"/>
  <c r="G21" i="8"/>
  <c r="H21" i="8"/>
  <c r="D21" i="8"/>
  <c r="E21" i="9"/>
  <c r="F21" i="9"/>
  <c r="G21" i="9"/>
  <c r="H21" i="9"/>
  <c r="D21" i="9"/>
  <c r="E21" i="10"/>
  <c r="F21" i="10"/>
  <c r="G21" i="10"/>
  <c r="H21" i="10"/>
  <c r="D21" i="10"/>
  <c r="E21" i="11"/>
  <c r="F21" i="11"/>
  <c r="G21" i="11"/>
  <c r="H21" i="11"/>
  <c r="D21" i="11"/>
  <c r="E21" i="12"/>
  <c r="F21" i="12"/>
  <c r="G21" i="12"/>
  <c r="H21" i="12"/>
  <c r="D21" i="12"/>
  <c r="E21" i="13"/>
  <c r="F21" i="13"/>
  <c r="G21" i="13"/>
  <c r="H21" i="13"/>
  <c r="D21" i="13"/>
  <c r="E21" i="14"/>
  <c r="F21" i="14"/>
  <c r="G21" i="14"/>
  <c r="H21" i="14"/>
  <c r="D21" i="14"/>
  <c r="E21" i="15"/>
  <c r="F21" i="15"/>
  <c r="G21" i="15"/>
  <c r="H21" i="15"/>
  <c r="D21" i="15"/>
  <c r="E21" i="16"/>
  <c r="F21" i="16"/>
  <c r="G21" i="16"/>
  <c r="H21" i="16"/>
  <c r="D21" i="16"/>
  <c r="E21" i="17"/>
  <c r="F21" i="17"/>
  <c r="G21" i="17"/>
  <c r="H21" i="17"/>
  <c r="D21" i="17"/>
  <c r="E21" i="18"/>
  <c r="F21" i="18"/>
  <c r="G21" i="18"/>
  <c r="H21" i="18"/>
  <c r="D21" i="18"/>
  <c r="E21" i="30"/>
  <c r="F21" i="30"/>
  <c r="G21" i="30"/>
  <c r="H21" i="30"/>
  <c r="D21" i="30"/>
  <c r="E21" i="25"/>
  <c r="F21" i="25"/>
  <c r="G21" i="25"/>
  <c r="H21" i="25"/>
  <c r="D21" i="25"/>
  <c r="E21" i="26"/>
  <c r="F21" i="26"/>
  <c r="G21" i="26"/>
  <c r="H21" i="26"/>
  <c r="D21" i="26"/>
  <c r="E21" i="28"/>
  <c r="F21" i="28"/>
  <c r="G21" i="28"/>
  <c r="H21" i="28"/>
  <c r="D21" i="28"/>
  <c r="E21" i="29"/>
  <c r="F21" i="29"/>
  <c r="G21" i="29"/>
  <c r="H21" i="29"/>
  <c r="D21" i="29"/>
  <c r="E21" i="24"/>
  <c r="F21" i="24"/>
  <c r="G21" i="24"/>
  <c r="H21" i="24"/>
  <c r="D21" i="24"/>
  <c r="E21" i="23"/>
  <c r="F21" i="23"/>
  <c r="G21" i="23"/>
  <c r="H21" i="23"/>
  <c r="D21" i="23"/>
  <c r="E21" i="22"/>
  <c r="F21" i="22"/>
  <c r="G21" i="22"/>
  <c r="H21" i="22"/>
  <c r="D21" i="22"/>
  <c r="E21" i="21"/>
  <c r="F21" i="21"/>
  <c r="G21" i="21"/>
  <c r="H21" i="21"/>
  <c r="D21" i="21"/>
  <c r="E21" i="20"/>
  <c r="F21" i="20"/>
  <c r="G21" i="20"/>
  <c r="H21" i="20"/>
  <c r="D21" i="20"/>
  <c r="D21" i="19"/>
  <c r="E21" i="6"/>
  <c r="F21" i="6"/>
  <c r="G21" i="6"/>
  <c r="H21" i="6"/>
  <c r="D21" i="6"/>
  <c r="M9" i="6"/>
  <c r="F21" i="4"/>
  <c r="E21" i="4"/>
  <c r="G21" i="4"/>
  <c r="H21" i="4"/>
  <c r="D21" i="4"/>
  <c r="E21" i="3"/>
  <c r="F21" i="3"/>
  <c r="G21" i="3"/>
  <c r="H21" i="3"/>
  <c r="D21" i="3"/>
  <c r="E21" i="2"/>
  <c r="F21" i="2"/>
  <c r="G21" i="2"/>
  <c r="H21" i="2"/>
  <c r="D21" i="2"/>
  <c r="F7" i="2"/>
  <c r="F6" i="2"/>
  <c r="F8" i="2"/>
  <c r="F9" i="2"/>
  <c r="K7" i="2"/>
  <c r="K8" i="2"/>
  <c r="K9" i="2"/>
  <c r="K9" i="30"/>
  <c r="K8" i="30"/>
  <c r="K7" i="30"/>
  <c r="F9" i="30"/>
  <c r="F8" i="30"/>
  <c r="F7" i="30"/>
  <c r="F6" i="30"/>
  <c r="D6" i="30"/>
  <c r="H6" i="30"/>
  <c r="L7" i="30"/>
  <c r="N7" i="30"/>
  <c r="M7" i="30"/>
  <c r="M8" i="30"/>
  <c r="L8" i="30"/>
  <c r="N8" i="30"/>
  <c r="L9" i="30"/>
  <c r="M9" i="30"/>
  <c r="N9" i="30"/>
  <c r="F13" i="30"/>
  <c r="D6" i="29"/>
  <c r="M9" i="29"/>
  <c r="N9" i="29"/>
  <c r="F6" i="29"/>
  <c r="H6" i="29"/>
  <c r="L6" i="29"/>
  <c r="N6" i="29" s="1"/>
  <c r="F7" i="29"/>
  <c r="K7" i="29"/>
  <c r="L7" i="29"/>
  <c r="M7" i="29"/>
  <c r="M8" i="29"/>
  <c r="F8" i="29"/>
  <c r="K8" i="29"/>
  <c r="L8" i="29"/>
  <c r="F9" i="29"/>
  <c r="K9" i="29"/>
  <c r="L9" i="29"/>
  <c r="F13" i="29"/>
  <c r="D6" i="28"/>
  <c r="M9" i="28"/>
  <c r="N9" i="28"/>
  <c r="F6" i="28"/>
  <c r="H6" i="28"/>
  <c r="L6" i="28"/>
  <c r="N6" i="28" s="1"/>
  <c r="F7" i="28"/>
  <c r="K7" i="28"/>
  <c r="L7" i="28"/>
  <c r="M7" i="28"/>
  <c r="M8" i="28"/>
  <c r="F8" i="28"/>
  <c r="K8" i="28"/>
  <c r="L8" i="28"/>
  <c r="F9" i="28"/>
  <c r="K9" i="28"/>
  <c r="L9" i="28"/>
  <c r="F13" i="28"/>
  <c r="D6" i="26"/>
  <c r="M9" i="26"/>
  <c r="N9" i="26"/>
  <c r="F6" i="26"/>
  <c r="H6" i="26"/>
  <c r="L6" i="26"/>
  <c r="N6" i="26" s="1"/>
  <c r="F7" i="26"/>
  <c r="K7" i="26"/>
  <c r="L7" i="26"/>
  <c r="N7" i="26"/>
  <c r="M7" i="26"/>
  <c r="M8" i="26"/>
  <c r="F8" i="26"/>
  <c r="K8" i="26"/>
  <c r="L8" i="26"/>
  <c r="N8" i="26"/>
  <c r="F9" i="26"/>
  <c r="K9" i="26"/>
  <c r="L9" i="26"/>
  <c r="F13" i="26"/>
  <c r="D6" i="25"/>
  <c r="M9" i="25"/>
  <c r="N9" i="25"/>
  <c r="F6" i="25"/>
  <c r="H6" i="25"/>
  <c r="L6" i="25"/>
  <c r="N6" i="25" s="1"/>
  <c r="F7" i="25"/>
  <c r="K7" i="25"/>
  <c r="L7" i="25"/>
  <c r="N7" i="25"/>
  <c r="M7" i="25"/>
  <c r="M8" i="25"/>
  <c r="F8" i="25"/>
  <c r="K8" i="25"/>
  <c r="L8" i="25"/>
  <c r="N8" i="25"/>
  <c r="F9" i="25"/>
  <c r="K9" i="25"/>
  <c r="L9" i="25"/>
  <c r="F13" i="25"/>
  <c r="D6" i="24"/>
  <c r="M9" i="24"/>
  <c r="N9" i="24"/>
  <c r="F6" i="24"/>
  <c r="H6" i="24"/>
  <c r="L6" i="24"/>
  <c r="N6" i="24" s="1"/>
  <c r="F7" i="24"/>
  <c r="K7" i="24"/>
  <c r="L7" i="24"/>
  <c r="M7" i="24"/>
  <c r="M8" i="24"/>
  <c r="F8" i="24"/>
  <c r="K8" i="24"/>
  <c r="L8" i="24"/>
  <c r="F9" i="24"/>
  <c r="K9" i="24"/>
  <c r="L9" i="24"/>
  <c r="F13" i="24"/>
  <c r="F16" i="24"/>
  <c r="F18" i="24"/>
  <c r="D6" i="23"/>
  <c r="H6" i="23"/>
  <c r="L6" i="23"/>
  <c r="N6" i="23"/>
  <c r="F7" i="23"/>
  <c r="K7" i="23"/>
  <c r="L7" i="23"/>
  <c r="M7" i="23"/>
  <c r="N7" i="23"/>
  <c r="F8" i="23"/>
  <c r="K8" i="23"/>
  <c r="L8" i="23"/>
  <c r="M8" i="23"/>
  <c r="N8" i="23"/>
  <c r="F9" i="23"/>
  <c r="K9" i="23"/>
  <c r="L9" i="23"/>
  <c r="M9" i="23"/>
  <c r="F13" i="23"/>
  <c r="D6" i="22"/>
  <c r="H6" i="22"/>
  <c r="L6" i="22"/>
  <c r="N6" i="22" s="1"/>
  <c r="F7" i="22"/>
  <c r="K7" i="22"/>
  <c r="L7" i="22"/>
  <c r="M7" i="22"/>
  <c r="N7" i="22"/>
  <c r="F8" i="22"/>
  <c r="K8" i="22"/>
  <c r="L8" i="22"/>
  <c r="M8" i="22"/>
  <c r="N8" i="22"/>
  <c r="F9" i="22"/>
  <c r="K9" i="22"/>
  <c r="L9" i="22"/>
  <c r="M9" i="22"/>
  <c r="F13" i="22"/>
  <c r="D6" i="21"/>
  <c r="H6" i="21"/>
  <c r="L6" i="21"/>
  <c r="N6" i="21" s="1"/>
  <c r="F7" i="21"/>
  <c r="K7" i="21"/>
  <c r="L7" i="21"/>
  <c r="M7" i="21"/>
  <c r="N7" i="21"/>
  <c r="F8" i="21"/>
  <c r="K8" i="21"/>
  <c r="L8" i="21"/>
  <c r="M8" i="21"/>
  <c r="N8" i="21"/>
  <c r="F9" i="21"/>
  <c r="K9" i="21"/>
  <c r="L9" i="21"/>
  <c r="M9" i="21"/>
  <c r="F13" i="21"/>
  <c r="D6" i="20"/>
  <c r="H6" i="20"/>
  <c r="L6" i="20"/>
  <c r="N6" i="20" s="1"/>
  <c r="F7" i="20"/>
  <c r="K7" i="20"/>
  <c r="L7" i="20"/>
  <c r="M7" i="20"/>
  <c r="N7" i="20"/>
  <c r="F8" i="20"/>
  <c r="K8" i="20"/>
  <c r="L8" i="20"/>
  <c r="M8" i="20"/>
  <c r="N8" i="20"/>
  <c r="F9" i="20"/>
  <c r="K9" i="20"/>
  <c r="L9" i="20"/>
  <c r="M9" i="20"/>
  <c r="F13" i="20"/>
  <c r="D6" i="19"/>
  <c r="H6" i="19"/>
  <c r="L6" i="19"/>
  <c r="N6" i="19"/>
  <c r="F7" i="19"/>
  <c r="K7" i="19"/>
  <c r="L7" i="19"/>
  <c r="M7" i="19"/>
  <c r="N7" i="19"/>
  <c r="F8" i="19"/>
  <c r="K8" i="19"/>
  <c r="L8" i="19"/>
  <c r="M8" i="19"/>
  <c r="N8" i="19"/>
  <c r="F9" i="19"/>
  <c r="K9" i="19"/>
  <c r="L9" i="19"/>
  <c r="M9" i="19"/>
  <c r="K9" i="18"/>
  <c r="K8" i="18"/>
  <c r="K7" i="18"/>
  <c r="F9" i="18"/>
  <c r="F8" i="18"/>
  <c r="F6" i="18"/>
  <c r="F7" i="18"/>
  <c r="D6" i="18"/>
  <c r="H6" i="18"/>
  <c r="L6" i="18"/>
  <c r="N6" i="18" s="1"/>
  <c r="L7" i="18"/>
  <c r="N7" i="18"/>
  <c r="M7" i="18"/>
  <c r="L8" i="18"/>
  <c r="N8" i="18"/>
  <c r="M8" i="18"/>
  <c r="L9" i="18"/>
  <c r="M9" i="18"/>
  <c r="N9" i="18"/>
  <c r="F13" i="18"/>
  <c r="K9" i="17"/>
  <c r="K8" i="17"/>
  <c r="K7" i="17"/>
  <c r="F9" i="17"/>
  <c r="F8" i="17"/>
  <c r="F6" i="17"/>
  <c r="F7" i="17"/>
  <c r="D6" i="17"/>
  <c r="H6" i="17"/>
  <c r="L6" i="17"/>
  <c r="N6" i="17"/>
  <c r="L7" i="17"/>
  <c r="N7" i="17"/>
  <c r="M7" i="17"/>
  <c r="L8" i="17"/>
  <c r="N8" i="17"/>
  <c r="M8" i="17"/>
  <c r="L9" i="17"/>
  <c r="M9" i="17"/>
  <c r="N9" i="17"/>
  <c r="F13" i="17"/>
  <c r="K9" i="16"/>
  <c r="K8" i="16"/>
  <c r="K7" i="16"/>
  <c r="F9" i="16"/>
  <c r="F8" i="16"/>
  <c r="F7" i="16"/>
  <c r="D6" i="16"/>
  <c r="M7" i="16"/>
  <c r="F6" i="16"/>
  <c r="H6" i="16"/>
  <c r="L6" i="16"/>
  <c r="N6" i="16"/>
  <c r="L7" i="16"/>
  <c r="L8" i="16"/>
  <c r="L9" i="16"/>
  <c r="M9" i="16"/>
  <c r="F13" i="16"/>
  <c r="K9" i="15"/>
  <c r="K8" i="15"/>
  <c r="K7" i="15"/>
  <c r="F9" i="15"/>
  <c r="F8" i="15"/>
  <c r="F7" i="15"/>
  <c r="F6" i="15"/>
  <c r="D6" i="15"/>
  <c r="M7" i="15"/>
  <c r="H6" i="15"/>
  <c r="L6" i="15"/>
  <c r="N6" i="15"/>
  <c r="L7" i="15"/>
  <c r="L8" i="15"/>
  <c r="L9" i="15"/>
  <c r="N9" i="15"/>
  <c r="M9" i="15"/>
  <c r="F13" i="15"/>
  <c r="K9" i="14"/>
  <c r="K8" i="14"/>
  <c r="K7" i="14"/>
  <c r="F9" i="14"/>
  <c r="F8" i="14"/>
  <c r="F7" i="14"/>
  <c r="D6" i="14"/>
  <c r="M7" i="14"/>
  <c r="F6" i="14"/>
  <c r="H6" i="14"/>
  <c r="L6" i="14"/>
  <c r="N6" i="14"/>
  <c r="L7" i="14"/>
  <c r="L8" i="14"/>
  <c r="L9" i="14"/>
  <c r="M9" i="14"/>
  <c r="F13" i="14"/>
  <c r="K9" i="13"/>
  <c r="K8" i="13"/>
  <c r="K7" i="13"/>
  <c r="F9" i="13"/>
  <c r="F8" i="13"/>
  <c r="F7" i="13"/>
  <c r="D6" i="13"/>
  <c r="M7" i="13"/>
  <c r="F6" i="13"/>
  <c r="H6" i="13"/>
  <c r="L6" i="13"/>
  <c r="N6" i="13" s="1"/>
  <c r="L7" i="13"/>
  <c r="L8" i="13"/>
  <c r="L9" i="13"/>
  <c r="M9" i="13"/>
  <c r="F13" i="13"/>
  <c r="K9" i="12"/>
  <c r="K8" i="12"/>
  <c r="K7" i="12"/>
  <c r="F9" i="12"/>
  <c r="F8" i="12"/>
  <c r="F7" i="12"/>
  <c r="D6" i="12"/>
  <c r="M7" i="12"/>
  <c r="F6" i="12"/>
  <c r="H6" i="12"/>
  <c r="L6" i="12"/>
  <c r="N6" i="12"/>
  <c r="L7" i="12"/>
  <c r="L8" i="12"/>
  <c r="L9" i="12"/>
  <c r="N9" i="12"/>
  <c r="M9" i="12"/>
  <c r="F13" i="12"/>
  <c r="K9" i="11"/>
  <c r="K8" i="11"/>
  <c r="K7" i="11"/>
  <c r="F7" i="11"/>
  <c r="F8" i="11"/>
  <c r="F9" i="11"/>
  <c r="D6" i="11"/>
  <c r="M7" i="11"/>
  <c r="F6" i="11"/>
  <c r="H6" i="11"/>
  <c r="L6" i="11"/>
  <c r="N6" i="11"/>
  <c r="L7" i="11"/>
  <c r="L8" i="11"/>
  <c r="L9" i="11"/>
  <c r="N9" i="11"/>
  <c r="M9" i="11"/>
  <c r="F13" i="11"/>
  <c r="K9" i="10"/>
  <c r="K8" i="10"/>
  <c r="K7" i="10"/>
  <c r="F9" i="10"/>
  <c r="F8" i="10"/>
  <c r="F7" i="10"/>
  <c r="D6" i="10"/>
  <c r="M7" i="10"/>
  <c r="F6" i="10"/>
  <c r="H6" i="10"/>
  <c r="L6" i="10"/>
  <c r="N6" i="10"/>
  <c r="L7" i="10"/>
  <c r="L8" i="10"/>
  <c r="L9" i="10"/>
  <c r="M9" i="10"/>
  <c r="F13" i="10"/>
  <c r="K9" i="9"/>
  <c r="K8" i="9"/>
  <c r="K7" i="9"/>
  <c r="F9" i="9"/>
  <c r="F8" i="9"/>
  <c r="F7" i="9"/>
  <c r="D6" i="9"/>
  <c r="M7" i="9"/>
  <c r="F6" i="9"/>
  <c r="H6" i="9"/>
  <c r="L6" i="9"/>
  <c r="N6" i="9" s="1"/>
  <c r="L7" i="9"/>
  <c r="L8" i="9"/>
  <c r="L9" i="9"/>
  <c r="M9" i="9"/>
  <c r="F13" i="9"/>
  <c r="K9" i="8"/>
  <c r="K8" i="8"/>
  <c r="K7" i="8"/>
  <c r="F9" i="8"/>
  <c r="F8" i="8"/>
  <c r="F7" i="8"/>
  <c r="F6" i="8"/>
  <c r="D6" i="8"/>
  <c r="H6" i="8"/>
  <c r="L6" i="8"/>
  <c r="N6" i="8" s="1"/>
  <c r="L7" i="8"/>
  <c r="L8" i="8"/>
  <c r="L9" i="8"/>
  <c r="F13" i="8"/>
  <c r="K9" i="3"/>
  <c r="K8" i="3"/>
  <c r="K7" i="3"/>
  <c r="K9" i="6"/>
  <c r="K8" i="6"/>
  <c r="K7" i="6"/>
  <c r="K9" i="7"/>
  <c r="K8" i="7"/>
  <c r="K7" i="7"/>
  <c r="F9" i="7"/>
  <c r="F8" i="7"/>
  <c r="F7" i="7"/>
  <c r="D6" i="7"/>
  <c r="M7" i="7"/>
  <c r="F6" i="7"/>
  <c r="H6" i="7"/>
  <c r="L6" i="7"/>
  <c r="N6" i="7"/>
  <c r="L7" i="7"/>
  <c r="L8" i="7"/>
  <c r="L9" i="7"/>
  <c r="N9" i="7"/>
  <c r="M9" i="7"/>
  <c r="F13" i="7"/>
  <c r="F9" i="6"/>
  <c r="F8" i="6"/>
  <c r="F7" i="6"/>
  <c r="F6" i="6"/>
  <c r="D6" i="6"/>
  <c r="H6" i="6"/>
  <c r="L6" i="6"/>
  <c r="N6" i="6"/>
  <c r="L7" i="6"/>
  <c r="L8" i="6"/>
  <c r="L9" i="6"/>
  <c r="F13" i="6"/>
  <c r="F9" i="4"/>
  <c r="F8" i="4"/>
  <c r="F6" i="4"/>
  <c r="F7" i="4"/>
  <c r="L9" i="4"/>
  <c r="K9" i="4"/>
  <c r="L8" i="4"/>
  <c r="N8" i="4"/>
  <c r="K8" i="4"/>
  <c r="L7" i="4"/>
  <c r="N7" i="4"/>
  <c r="K7" i="4"/>
  <c r="H6" i="4"/>
  <c r="D6" i="4"/>
  <c r="M9" i="4"/>
  <c r="N9" i="4"/>
  <c r="M7" i="4"/>
  <c r="M8" i="4"/>
  <c r="F9" i="3"/>
  <c r="F8" i="3"/>
  <c r="F6" i="3"/>
  <c r="F7" i="3"/>
  <c r="F13" i="3"/>
  <c r="L9" i="3"/>
  <c r="L8" i="3"/>
  <c r="L7" i="3"/>
  <c r="H6" i="3"/>
  <c r="D6" i="3"/>
  <c r="L9" i="2"/>
  <c r="L7" i="2"/>
  <c r="L8" i="2"/>
  <c r="D6" i="2"/>
  <c r="L6" i="4"/>
  <c r="N6" i="4"/>
  <c r="L6" i="3"/>
  <c r="N6" i="3"/>
  <c r="N9" i="6"/>
  <c r="N9" i="10"/>
  <c r="M8" i="10"/>
  <c r="N7" i="10"/>
  <c r="N9" i="14"/>
  <c r="N7" i="14"/>
  <c r="M8" i="14"/>
  <c r="N9" i="16"/>
  <c r="N7" i="16"/>
  <c r="M8" i="16"/>
  <c r="N8" i="16"/>
  <c r="N9" i="19"/>
  <c r="F6" i="19"/>
  <c r="N9" i="20"/>
  <c r="F6" i="20"/>
  <c r="N9" i="21"/>
  <c r="F6" i="21"/>
  <c r="N9" i="22"/>
  <c r="F6" i="22"/>
  <c r="N9" i="23"/>
  <c r="F6" i="23"/>
  <c r="N8" i="24"/>
  <c r="N7" i="24"/>
  <c r="N8" i="29"/>
  <c r="N7" i="29"/>
  <c r="L6" i="30"/>
  <c r="N6" i="30" s="1"/>
  <c r="M7" i="2"/>
  <c r="M9" i="2"/>
  <c r="N9" i="2"/>
  <c r="M7" i="3"/>
  <c r="M9" i="3"/>
  <c r="N9" i="3"/>
  <c r="N9" i="9"/>
  <c r="M8" i="9"/>
  <c r="N7" i="9"/>
  <c r="N8" i="10"/>
  <c r="N9" i="13"/>
  <c r="M8" i="13"/>
  <c r="N7" i="13"/>
  <c r="N8" i="14"/>
  <c r="N7" i="15"/>
  <c r="M8" i="15"/>
  <c r="N8" i="15"/>
  <c r="N8" i="28"/>
  <c r="N7" i="28"/>
  <c r="M7" i="6"/>
  <c r="M8" i="7"/>
  <c r="N8" i="7"/>
  <c r="N7" i="7"/>
  <c r="N9" i="8"/>
  <c r="N7" i="11"/>
  <c r="M8" i="11"/>
  <c r="N8" i="11"/>
  <c r="M9" i="8"/>
  <c r="M7" i="8"/>
  <c r="N8" i="9"/>
  <c r="M8" i="12"/>
  <c r="N8" i="12"/>
  <c r="N7" i="12"/>
  <c r="N8" i="13"/>
  <c r="M8" i="6"/>
  <c r="N8" i="6"/>
  <c r="N7" i="6"/>
  <c r="N7" i="2"/>
  <c r="M8" i="2"/>
  <c r="N8" i="2"/>
  <c r="M8" i="8"/>
  <c r="N8" i="8"/>
  <c r="N7" i="8"/>
  <c r="M8" i="3"/>
  <c r="N8" i="3"/>
  <c r="N7" i="3"/>
</calcChain>
</file>

<file path=xl/sharedStrings.xml><?xml version="1.0" encoding="utf-8"?>
<sst xmlns="http://schemas.openxmlformats.org/spreadsheetml/2006/main" count="1933" uniqueCount="216">
  <si>
    <t>Наименование услуг</t>
  </si>
  <si>
    <t>Описание услуг</t>
  </si>
  <si>
    <t>Периодичность</t>
  </si>
  <si>
    <t>Стоимость услуг на ед.изм</t>
  </si>
  <si>
    <t>План на отчетный период</t>
  </si>
  <si>
    <t>Фактическое исполнение за отчетный период</t>
  </si>
  <si>
    <t>Затраты на 1 кв.м оплачиваемой площади</t>
  </si>
  <si>
    <t>в натуральных показателях</t>
  </si>
  <si>
    <t>сумма, рублей (год)</t>
  </si>
  <si>
    <t>1. Содержание общего имущества многоквартирного дома</t>
  </si>
  <si>
    <t>Вывоз твердых бытовых отходов</t>
  </si>
  <si>
    <t>Услуги мусоровоза по вывозу твердых бытовых отходов</t>
  </si>
  <si>
    <t>по графику</t>
  </si>
  <si>
    <t>Аварийное обслуживание</t>
  </si>
  <si>
    <t>Устранений аварий; выполнение заявок населения; содержанание круглосуточной дежурной бригады в составе сантехников, электриков, сварщика, водителя с автомобилем, работа диспечера, затраты на услуги связи</t>
  </si>
  <si>
    <t>постоянно</t>
  </si>
  <si>
    <t>Услуги по управлению многоквартирным домом</t>
  </si>
  <si>
    <t>Организация работ с населением, подрядными организациями, с предприятиями предоставляющими коммунальные услуги, ведение бухгалтерского, оперативного и технического учета, в том числе учет населения, делопроизводства</t>
  </si>
  <si>
    <t>Прочие работы по содержанию и техническому обслуживанию</t>
  </si>
  <si>
    <t>Осмотр электропроводки, ремонт групповых щитов, щитов, освещение мест общего пользования, смена арматуры.дератизация, дезинсекция, закрытие и открытия с/о в у/у, регулировка, наладка и замена с/о , проверка исправности в системах канализационных вытяжек и вентиляционной системы, прочистка канализации в подвальных помещениях, ремонт контейнерных площадок, ремонт отмостки, остекление, ремонт дверей и оконных рам,</t>
  </si>
  <si>
    <t>2. Текущий ремонт общего имущества многоквартирного дома</t>
  </si>
  <si>
    <t>Замена разбитых стекол окон и дверей в помещениях общего пользования</t>
  </si>
  <si>
    <t>по мере не обходимости (январь - сентябрь)</t>
  </si>
  <si>
    <t>2,98м2</t>
  </si>
  <si>
    <t>0,9м2</t>
  </si>
  <si>
    <t xml:space="preserve">Ремонт и укрепление входных дверей, укрепление и ремонт оконных рам. </t>
  </si>
  <si>
    <t>Ремонт дверных полотен, ремонт оконных рам. Смена приборов.</t>
  </si>
  <si>
    <t>1 раз в год (январь - сентябрь)</t>
  </si>
  <si>
    <t>Ремонт кровли</t>
  </si>
  <si>
    <t>Смена шифера не более 10 % от общей площади кровли.</t>
  </si>
  <si>
    <t>1 раз в год (июнь- сентябрь)</t>
  </si>
  <si>
    <t>Ремонт межрпанельных швов, фасада</t>
  </si>
  <si>
    <t>Ремонт межпанельных швов не более 15 % от общей площади межпанельных швов</t>
  </si>
  <si>
    <t>35м.п</t>
  </si>
  <si>
    <t>Ремонт трубопровода холодного водоснабжения</t>
  </si>
  <si>
    <t>Ремонт и смена трубопровода не более 15 % от общего объема трубопровода. Смена и ремонт соответствующей арматуры.</t>
  </si>
  <si>
    <t>Ремонт трубопровода системы отопления</t>
  </si>
  <si>
    <t>10м.п</t>
  </si>
  <si>
    <t>Ремонт трубопровода канализации</t>
  </si>
  <si>
    <t>ИТОГО</t>
  </si>
  <si>
    <t>Информация о стоимости работ (услуг) по содержанию и ремонту общего имущества в многоквартирном доме №  3-а по ул. Горняцкая</t>
  </si>
  <si>
    <t>Водоотведение</t>
  </si>
  <si>
    <t>Услуги ассенизационной машины  по вывозу жидких бытовых отходов</t>
  </si>
  <si>
    <t>Итого</t>
  </si>
  <si>
    <t xml:space="preserve">Финансирование услуги на 2014 год 
</t>
  </si>
  <si>
    <t>Отклонение</t>
  </si>
  <si>
    <t>Прибыль(+)/Убыток(-)  по обслуживанию МДК</t>
  </si>
  <si>
    <t>Себестоимость услуг по обслуживанию МДК</t>
  </si>
  <si>
    <t>Информация о стоимости работ (услуг) по содержанию и ремонту общего имущества в многоквартирном доме № 4 по ул. Горняцкая</t>
  </si>
  <si>
    <t>Информация о стоимости работ (услуг) по содержанию и ремонту общего имущества в многоквартирном доме № 5-а по ул. Горняцкая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</si>
  <si>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830</t>
    </r>
    <r>
      <rPr>
        <b/>
        <i/>
        <sz val="9"/>
        <rFont val="Arial"/>
        <family val="2"/>
        <charset val="204"/>
      </rPr>
      <t xml:space="preserve">  кв.м  ,площадь квартир  </t>
    </r>
    <r>
      <rPr>
        <b/>
        <i/>
        <u/>
        <sz val="9"/>
        <rFont val="Arial"/>
        <family val="2"/>
        <charset val="204"/>
      </rPr>
      <t xml:space="preserve">721,4 </t>
    </r>
    <r>
      <rPr>
        <b/>
        <i/>
        <sz val="9"/>
        <rFont val="Arial"/>
        <family val="2"/>
        <charset val="204"/>
      </rPr>
      <t>кв.м.</t>
    </r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</si>
  <si>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1342 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 xml:space="preserve">1108,9 </t>
    </r>
    <r>
      <rPr>
        <b/>
        <i/>
        <sz val="9"/>
        <rFont val="Arial"/>
        <family val="2"/>
        <charset val="204"/>
      </rPr>
      <t>кв.м.</t>
    </r>
  </si>
  <si>
    <t>Осмотр электропроводки, ремонт групповых щитов, щитов, освещение мест общего пользования, смена арматуры.дератизация, дезинсекция, закрытие и открытия с/о в у/у, регулировка, наладка и замена с/о , проверка исправности в системах канализационных вытяжек и</t>
  </si>
  <si>
    <t>Информация о стоимости работ (услуг) по содержанию и ремонту общего имущества в многоквартирном доме № 6 по ул. Горняцкая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</si>
  <si>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595,9 </t>
    </r>
    <r>
      <rPr>
        <b/>
        <i/>
        <sz val="9"/>
        <rFont val="Arial"/>
        <family val="2"/>
        <charset val="204"/>
      </rPr>
      <t xml:space="preserve">кв.м , площадь квартир </t>
    </r>
    <r>
      <rPr>
        <b/>
        <i/>
        <u/>
        <sz val="9"/>
        <rFont val="Arial"/>
        <family val="2"/>
        <charset val="204"/>
      </rPr>
      <t xml:space="preserve">519,5 </t>
    </r>
    <r>
      <rPr>
        <b/>
        <i/>
        <sz val="9"/>
        <rFont val="Arial"/>
        <family val="2"/>
        <charset val="204"/>
      </rPr>
      <t>кв.м.</t>
    </r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</si>
  <si>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1316,10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1100,1</t>
    </r>
    <r>
      <rPr>
        <b/>
        <i/>
        <sz val="9"/>
        <rFont val="Arial"/>
        <family val="2"/>
        <charset val="204"/>
      </rPr>
      <t xml:space="preserve"> кв.м.</t>
    </r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</si>
  <si>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1305,8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1093,1</t>
    </r>
    <r>
      <rPr>
        <b/>
        <i/>
        <sz val="9"/>
        <rFont val="Arial"/>
        <family val="2"/>
        <charset val="204"/>
      </rPr>
      <t xml:space="preserve"> кв.м.</t>
    </r>
  </si>
  <si>
    <t>Информация о стоимости работ (услуг) по содержанию и ремонту общего имущества в многоквартирном доме № 1 по ул. Клубная</t>
  </si>
  <si>
    <t xml:space="preserve">Информация о стоимости работ (услуг) по содержанию и ремонту общего имущества в многоквартирном доме № 2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</si>
  <si>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1320,8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979,3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</si>
  <si>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3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</si>
  <si>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11307,8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1094,6</t>
    </r>
    <r>
      <rPr>
        <b/>
        <i/>
        <sz val="9"/>
        <rFont val="Arial"/>
        <family val="2"/>
        <charset val="204"/>
      </rPr>
      <t>кв.м.</t>
    </r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</si>
  <si>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1302,8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>1102,7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</si>
  <si>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8 по ул. Клубная </t>
  </si>
  <si>
    <t xml:space="preserve">Информация о стоимости работ (услуг) по содержанию и ремонту общего имущества в многоквартирном доме № 9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</si>
  <si>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1328,9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>1112,7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</si>
  <si>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15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</si>
  <si>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1326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1110,4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</si>
  <si>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16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</si>
  <si>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1311,9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1098,3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</si>
  <si>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17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</si>
  <si>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1323,3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1103,4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</si>
  <si>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18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</si>
  <si>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1329,9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979,7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</si>
  <si>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25 по ул. Клубная 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</si>
  <si>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547,8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499,2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</si>
  <si>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28 по ул. Клубная </t>
  </si>
  <si>
    <r>
      <t xml:space="preserve">Общая площадь многоквартирного дома    </t>
    </r>
    <r>
      <rPr>
        <b/>
        <i/>
        <u/>
        <sz val="9"/>
        <rFont val="Arial"/>
        <family val="2"/>
        <charset val="204"/>
      </rPr>
      <t xml:space="preserve">835,8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600,2 </t>
    </r>
    <r>
      <rPr>
        <b/>
        <i/>
        <sz val="9"/>
        <rFont val="Arial"/>
        <family val="2"/>
        <charset val="204"/>
      </rPr>
      <t>кв.м.</t>
    </r>
  </si>
  <si>
    <t xml:space="preserve">Информация о стоимости работ (услуг) по содержанию и ремонту общего имущества в многоквартирном доме № 2 по ул. Школьная  </t>
  </si>
  <si>
    <r>
      <t xml:space="preserve">Общая площадь многоквартирного дома    </t>
    </r>
    <r>
      <rPr>
        <b/>
        <i/>
        <u/>
        <sz val="9"/>
        <rFont val="Arial"/>
        <family val="2"/>
        <charset val="204"/>
      </rPr>
      <t xml:space="preserve">838 </t>
    </r>
    <r>
      <rPr>
        <b/>
        <i/>
        <sz val="9"/>
        <rFont val="Arial"/>
        <family val="2"/>
        <charset val="204"/>
      </rPr>
      <t xml:space="preserve">кв.м, площадь квартир </t>
    </r>
    <r>
      <rPr>
        <b/>
        <i/>
        <u/>
        <sz val="9"/>
        <rFont val="Arial"/>
        <family val="2"/>
        <charset val="204"/>
      </rPr>
      <t xml:space="preserve">714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</si>
  <si>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34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</si>
  <si>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576,1</t>
    </r>
    <r>
      <rPr>
        <b/>
        <i/>
        <sz val="9"/>
        <rFont val="Arial"/>
        <family val="2"/>
        <charset val="204"/>
      </rPr>
      <t xml:space="preserve"> кв.м  ,площадь квартир 530,6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</si>
  <si>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31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</si>
  <si>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547,7</t>
    </r>
    <r>
      <rPr>
        <b/>
        <i/>
        <sz val="9"/>
        <rFont val="Arial"/>
        <family val="2"/>
        <charset val="204"/>
      </rPr>
      <t xml:space="preserve"> кв.м  ,площадь квартир 496,9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</si>
  <si>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16-а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</si>
  <si>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827,8</t>
    </r>
    <r>
      <rPr>
        <b/>
        <i/>
        <sz val="9"/>
        <rFont val="Arial"/>
        <family val="2"/>
        <charset val="204"/>
      </rPr>
      <t xml:space="preserve"> кв.м  ,площадь квартир  697,7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</si>
  <si>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11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</si>
  <si>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1338,7</t>
    </r>
    <r>
      <rPr>
        <b/>
        <i/>
        <sz val="9"/>
        <rFont val="Arial"/>
        <family val="2"/>
        <charset val="204"/>
      </rPr>
      <t xml:space="preserve"> кв.м  ,площадь квартир  1131,7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</si>
  <si>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10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</si>
  <si>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919,10</t>
    </r>
    <r>
      <rPr>
        <b/>
        <i/>
        <sz val="9"/>
        <rFont val="Arial"/>
        <family val="2"/>
        <charset val="204"/>
      </rPr>
      <t xml:space="preserve">  кв.м  ,площадь квартир  </t>
    </r>
    <r>
      <rPr>
        <b/>
        <i/>
        <u/>
        <sz val="9"/>
        <rFont val="Arial"/>
        <family val="2"/>
        <charset val="204"/>
      </rPr>
      <t xml:space="preserve">827,3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</si>
  <si>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 9 по ул. Новая</t>
  </si>
  <si>
    <r>
      <t xml:space="preserve">Общая площадь многоквартирного дома   </t>
    </r>
    <r>
      <rPr>
        <b/>
        <i/>
        <u/>
        <sz val="9"/>
        <rFont val="Arial"/>
        <family val="2"/>
        <charset val="204"/>
      </rPr>
      <t>1266,70</t>
    </r>
    <r>
      <rPr>
        <b/>
        <i/>
        <sz val="9"/>
        <rFont val="Arial"/>
        <family val="2"/>
        <charset val="204"/>
      </rPr>
      <t xml:space="preserve">  кв.м  ,площадь квартир  </t>
    </r>
    <r>
      <rPr>
        <b/>
        <i/>
        <u/>
        <sz val="9"/>
        <rFont val="Arial"/>
        <family val="2"/>
        <charset val="204"/>
      </rPr>
      <t xml:space="preserve">1100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</si>
  <si>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4 по ул. Новая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</si>
  <si>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1304,9 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 xml:space="preserve">1099,5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</si>
  <si>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5 по ул. Новая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</si>
  <si>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 xml:space="preserve">1320,3 </t>
    </r>
    <r>
      <rPr>
        <b/>
        <i/>
        <sz val="9"/>
        <rFont val="Arial"/>
        <family val="2"/>
        <charset val="204"/>
      </rPr>
      <t>кв.м , площадь квартир 1106,4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</si>
  <si>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Информация о стоимости работ (услуг) по содержанию и ремонту общего имущества в многоквартирном доме № 7 по ул. Новая</t>
  </si>
  <si>
    <t>Информация о стоимости работ (услуг) по содержанию и ремонту общего имущества в многоквартирном доме № 8 по ул. Новая</t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</si>
  <si>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1329,2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1115,8</t>
    </r>
    <r>
      <rPr>
        <b/>
        <i/>
        <sz val="9"/>
        <rFont val="Arial"/>
        <family val="2"/>
        <charset val="204"/>
      </rPr>
      <t xml:space="preserve"> кв.м.</t>
    </r>
  </si>
  <si>
    <r>
      <t xml:space="preserve">Общая площадь многоквартирного дома     </t>
    </r>
    <r>
      <rPr>
        <b/>
        <i/>
        <u/>
        <sz val="9"/>
        <rFont val="Arial"/>
        <family val="2"/>
        <charset val="204"/>
      </rPr>
      <t>1310</t>
    </r>
    <r>
      <rPr>
        <b/>
        <i/>
        <sz val="9"/>
        <rFont val="Arial"/>
        <family val="2"/>
        <charset val="204"/>
      </rPr>
      <t xml:space="preserve"> кв.м, площадь квартир </t>
    </r>
    <r>
      <rPr>
        <b/>
        <i/>
        <u/>
        <sz val="9"/>
        <rFont val="Arial"/>
        <family val="2"/>
        <charset val="204"/>
      </rPr>
      <t>1104,9</t>
    </r>
    <r>
      <rPr>
        <b/>
        <i/>
        <sz val="9"/>
        <rFont val="Arial"/>
        <family val="2"/>
        <charset val="204"/>
      </rPr>
      <t xml:space="preserve"> кв.м.</t>
    </r>
  </si>
  <si>
    <t>Информация о стоимости работ (услуг) по содержанию и ремонту общего имущества в многоквартирном доме № 1 по ул. Новая</t>
  </si>
  <si>
    <r>
      <t>Общая площадь многоквартирного дома   1330 кв.м  ,площадь квартир 1123,2</t>
    </r>
    <r>
      <rPr>
        <b/>
        <i/>
        <u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кв.м.</t>
    </r>
  </si>
  <si>
    <t>25м3</t>
  </si>
  <si>
    <t>912м3</t>
  </si>
  <si>
    <t>900м3</t>
  </si>
  <si>
    <t>3,1м2</t>
  </si>
  <si>
    <t>4шт</t>
  </si>
  <si>
    <t>15м2</t>
  </si>
  <si>
    <t>20м2</t>
  </si>
  <si>
    <t>20м.п</t>
  </si>
  <si>
    <t>3щт</t>
  </si>
  <si>
    <t>43м3</t>
  </si>
  <si>
    <t>1400м3</t>
  </si>
  <si>
    <t>40м3</t>
  </si>
  <si>
    <t>2,6м2</t>
  </si>
  <si>
    <t>2 шт</t>
  </si>
  <si>
    <t>12м2</t>
  </si>
  <si>
    <t>70м.п</t>
  </si>
  <si>
    <t>2шт</t>
  </si>
  <si>
    <t>2м.п</t>
  </si>
  <si>
    <t>23м3</t>
  </si>
  <si>
    <t>708м3</t>
  </si>
  <si>
    <t>710м3</t>
  </si>
  <si>
    <t>3м2</t>
  </si>
  <si>
    <t>100м.п</t>
  </si>
  <si>
    <t>732м3</t>
  </si>
  <si>
    <t>44м3</t>
  </si>
  <si>
    <t>740м3</t>
  </si>
  <si>
    <t>3шт</t>
  </si>
  <si>
    <t>18м2</t>
  </si>
  <si>
    <t>40м.п</t>
  </si>
  <si>
    <t>3,8м2</t>
  </si>
  <si>
    <t>10м2</t>
  </si>
  <si>
    <t>30м.п</t>
  </si>
  <si>
    <t>5м.п</t>
  </si>
  <si>
    <t>2,0м2</t>
  </si>
  <si>
    <t>34м3</t>
  </si>
  <si>
    <t>1990м3</t>
  </si>
  <si>
    <t>1800м3</t>
  </si>
  <si>
    <t>1,5м2</t>
  </si>
  <si>
    <t>3,0м2</t>
  </si>
  <si>
    <t>45м3</t>
  </si>
  <si>
    <t>1440м3</t>
  </si>
  <si>
    <t>2,8м2</t>
  </si>
  <si>
    <t>8м2</t>
  </si>
  <si>
    <t>85м.п</t>
  </si>
  <si>
    <t>52м3</t>
  </si>
  <si>
    <t>1452м3</t>
  </si>
  <si>
    <t>1450м3</t>
  </si>
  <si>
    <t>2м2</t>
  </si>
  <si>
    <t>50м.п</t>
  </si>
  <si>
    <t>80м.п</t>
  </si>
  <si>
    <t>4м2</t>
  </si>
  <si>
    <t>50м3</t>
  </si>
  <si>
    <t>2,7м2</t>
  </si>
  <si>
    <t>15м.п</t>
  </si>
  <si>
    <t>130м.п</t>
  </si>
  <si>
    <t>20м,п</t>
  </si>
  <si>
    <t>55м3</t>
  </si>
  <si>
    <t>1шт</t>
  </si>
  <si>
    <t>4,0м2</t>
  </si>
  <si>
    <t>1404м3</t>
  </si>
  <si>
    <t>35м3</t>
  </si>
  <si>
    <t>60м.п</t>
  </si>
  <si>
    <t>1428м3</t>
  </si>
  <si>
    <t>48м3</t>
  </si>
  <si>
    <t>1430м3</t>
  </si>
  <si>
    <t>3,4м2</t>
  </si>
  <si>
    <t>16м2</t>
  </si>
  <si>
    <t>8м.п</t>
  </si>
  <si>
    <t>45м.п</t>
  </si>
  <si>
    <t>7м.п</t>
  </si>
  <si>
    <t>14м2</t>
  </si>
  <si>
    <t>1270м3</t>
  </si>
  <si>
    <t>1200м3</t>
  </si>
  <si>
    <t>4,1м2</t>
  </si>
  <si>
    <t>684м3</t>
  </si>
  <si>
    <t>20м3</t>
  </si>
  <si>
    <t>600м3</t>
  </si>
  <si>
    <t>4м.п</t>
  </si>
  <si>
    <t>960м3</t>
  </si>
  <si>
    <t>1м2</t>
  </si>
  <si>
    <t>1488м3</t>
  </si>
  <si>
    <t>1560м3</t>
  </si>
  <si>
    <t>25м.п</t>
  </si>
  <si>
    <t>55м.п</t>
  </si>
  <si>
    <t>90м.п</t>
  </si>
  <si>
    <t>1468м3</t>
  </si>
  <si>
    <t>1300м3</t>
  </si>
  <si>
    <t>6м2</t>
  </si>
  <si>
    <t>14м.п</t>
  </si>
  <si>
    <t>18м.п</t>
  </si>
  <si>
    <t>6м.п</t>
  </si>
  <si>
    <t>1280м3</t>
  </si>
  <si>
    <t>54м3</t>
  </si>
  <si>
    <t>2,1м2</t>
  </si>
  <si>
    <t>30м3</t>
  </si>
  <si>
    <t>1070м3</t>
  </si>
  <si>
    <t>700м3</t>
  </si>
  <si>
    <t>1230м3</t>
  </si>
  <si>
    <t>1100м3</t>
  </si>
  <si>
    <t>3,2м2</t>
  </si>
  <si>
    <t>17м3</t>
  </si>
  <si>
    <t>15м3</t>
  </si>
  <si>
    <t>400м3</t>
  </si>
  <si>
    <t>24м3</t>
  </si>
  <si>
    <t>670м3</t>
  </si>
  <si>
    <t>550м3</t>
  </si>
  <si>
    <t>4,2м2</t>
  </si>
  <si>
    <t>32м3</t>
  </si>
  <si>
    <t>581м3</t>
  </si>
  <si>
    <t>16м3</t>
  </si>
  <si>
    <t>890м3</t>
  </si>
  <si>
    <t>800м3</t>
  </si>
  <si>
    <t>96м2</t>
  </si>
  <si>
    <t>80м2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</si>
</sst>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name val="Arial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8"/>
      <name val="Arial"/>
    </font>
    <font>
      <b/>
      <i/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72" fontId="2" fillId="0" borderId="3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4" fillId="0" borderId="0" xfId="0" applyNumberFormat="1" applyFont="1"/>
    <xf numFmtId="2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4" fillId="0" borderId="0" xfId="0" applyFont="1" applyBorder="1"/>
    <xf numFmtId="2" fontId="4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/>
    <xf numFmtId="0" fontId="0" fillId="0" borderId="15" xfId="0" applyBorder="1" applyAlignment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abSelected="1" zoomScaleNormal="100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40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50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5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199712.37599999999</v>
      </c>
      <c r="G6" s="13"/>
      <c r="H6" s="13">
        <f>H7+H8+H9</f>
        <v>174032.5</v>
      </c>
      <c r="I6" s="58">
        <f>I7+I8+I9+H21</f>
        <v>552626.84</v>
      </c>
      <c r="J6" s="59"/>
      <c r="K6" s="13"/>
      <c r="L6" s="13">
        <f>H6-I6</f>
        <v>-378594.33999999997</v>
      </c>
      <c r="M6" s="13">
        <v>330646.19</v>
      </c>
      <c r="N6" s="34">
        <f>L6+M6</f>
        <v>-47948.149999999965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102</v>
      </c>
      <c r="F7" s="7">
        <f>D7*12*721.4</f>
        <v>7444.848</v>
      </c>
      <c r="G7" s="8" t="s">
        <v>102</v>
      </c>
      <c r="H7" s="8">
        <v>6518.28</v>
      </c>
      <c r="I7" s="60">
        <v>94517.119999999995</v>
      </c>
      <c r="J7" s="61"/>
      <c r="K7" s="7">
        <f>I7/12/721.4</f>
        <v>10.918251547916089</v>
      </c>
      <c r="L7" s="13">
        <f>H7-I7</f>
        <v>-87998.84</v>
      </c>
      <c r="M7" s="31">
        <f>M6/D6*D7</f>
        <v>12325.779081057652</v>
      </c>
      <c r="N7" s="34">
        <f>L7+M7</f>
        <v>-75673.060918942341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103</v>
      </c>
      <c r="F8" s="7">
        <f>D8*12*721.4</f>
        <v>86568</v>
      </c>
      <c r="G8" s="8" t="s">
        <v>104</v>
      </c>
      <c r="H8" s="8">
        <v>74971.899999999994</v>
      </c>
      <c r="I8" s="60">
        <v>133158.31</v>
      </c>
      <c r="J8" s="61"/>
      <c r="K8" s="7">
        <f>I8/12/721.4</f>
        <v>15.381932122724333</v>
      </c>
      <c r="L8" s="13">
        <f>H8-I8</f>
        <v>-58186.41</v>
      </c>
      <c r="M8" s="31">
        <f>M7/D7*D8</f>
        <v>143323.0125704378</v>
      </c>
      <c r="N8" s="34">
        <f>L8+M8</f>
        <v>85136.602570437797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D9*721.4*12</f>
        <v>105699.52799999999</v>
      </c>
      <c r="G9" s="53"/>
      <c r="H9" s="76">
        <v>92542.32</v>
      </c>
      <c r="I9" s="62">
        <v>306181.40999999997</v>
      </c>
      <c r="J9" s="63"/>
      <c r="K9" s="47">
        <f>I9/12/721.4</f>
        <v>35.368890352093146</v>
      </c>
      <c r="L9" s="50">
        <f>H9-I9</f>
        <v>-213639.08999999997</v>
      </c>
      <c r="M9" s="50">
        <f>M6/D6*D9</f>
        <v>174997.39834850456</v>
      </c>
      <c r="N9" s="70">
        <f>L9+M9</f>
        <v>-38641.691651495406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48"/>
      <c r="G10" s="54"/>
      <c r="H10" s="77"/>
      <c r="I10" s="64"/>
      <c r="J10" s="65"/>
      <c r="K10" s="48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49"/>
      <c r="G11" s="55"/>
      <c r="H11" s="78"/>
      <c r="I11" s="66"/>
      <c r="J11" s="67"/>
      <c r="K11" s="49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/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105</v>
      </c>
      <c r="F14" s="7">
        <v>1240</v>
      </c>
      <c r="G14" s="8" t="s">
        <v>24</v>
      </c>
      <c r="H14" s="8">
        <v>360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106</v>
      </c>
      <c r="F15" s="7">
        <v>880</v>
      </c>
      <c r="G15" s="8" t="s">
        <v>110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107</v>
      </c>
      <c r="F16" s="7">
        <v>9750</v>
      </c>
      <c r="G16" s="8" t="s">
        <v>107</v>
      </c>
      <c r="H16" s="8">
        <v>9750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108</v>
      </c>
      <c r="F17" s="7">
        <v>7000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0</v>
      </c>
      <c r="E18" s="8">
        <v>0</v>
      </c>
      <c r="F18" s="7"/>
      <c r="G18" s="8">
        <v>0</v>
      </c>
      <c r="H18" s="8"/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109</v>
      </c>
      <c r="F19" s="7">
        <v>8000</v>
      </c>
      <c r="G19" s="8" t="s">
        <v>109</v>
      </c>
      <c r="H19" s="8">
        <v>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0</v>
      </c>
      <c r="E20" s="8">
        <v>0</v>
      </c>
      <c r="F20" s="7"/>
      <c r="G20" s="8">
        <v>0</v>
      </c>
      <c r="H20" s="8"/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2020</v>
      </c>
      <c r="E21" s="13">
        <f>SUM(E14:E20)</f>
        <v>0</v>
      </c>
      <c r="F21" s="13">
        <f>SUM(F14:F20)</f>
        <v>26870</v>
      </c>
      <c r="G21" s="13">
        <f>SUM(G14:G20)</f>
        <v>0</v>
      </c>
      <c r="H21" s="13">
        <f>SUM(H14:H20)</f>
        <v>18770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M9:M11"/>
    <mergeCell ref="N9:N11"/>
    <mergeCell ref="A12:N12"/>
    <mergeCell ref="H9:H11"/>
    <mergeCell ref="L4:L5"/>
    <mergeCell ref="M4:M5"/>
    <mergeCell ref="N4:N5"/>
    <mergeCell ref="D9:D11"/>
    <mergeCell ref="E9:E11"/>
    <mergeCell ref="K9:K11"/>
    <mergeCell ref="L9:L11"/>
    <mergeCell ref="G4:H4"/>
    <mergeCell ref="G9:G11"/>
    <mergeCell ref="K4:K5"/>
    <mergeCell ref="I5:J5"/>
    <mergeCell ref="I6:J6"/>
    <mergeCell ref="I7:J7"/>
    <mergeCell ref="I8:J8"/>
    <mergeCell ref="I9:J11"/>
    <mergeCell ref="A4:A5"/>
    <mergeCell ref="B4:B5"/>
    <mergeCell ref="C4:C5"/>
    <mergeCell ref="D4:D5"/>
    <mergeCell ref="I4:J4"/>
    <mergeCell ref="F9:F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4" zoomScaleNormal="100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66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67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307403.13600000006</v>
      </c>
      <c r="G6" s="13"/>
      <c r="H6" s="13">
        <f>H7+H8+H9</f>
        <v>259440.49</v>
      </c>
      <c r="I6" s="58">
        <f>I7+I8+I9+H21</f>
        <v>849988.08000000007</v>
      </c>
      <c r="J6" s="88"/>
      <c r="K6" s="13"/>
      <c r="L6" s="13">
        <f>H6-I6</f>
        <v>-590547.59000000008</v>
      </c>
      <c r="M6" s="13">
        <v>508940.29</v>
      </c>
      <c r="N6" s="34">
        <f>L6+M6</f>
        <v>-81607.300000000105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158</v>
      </c>
      <c r="F7" s="7">
        <f>D7*12*1110.4</f>
        <v>11459.328000000001</v>
      </c>
      <c r="G7" s="8" t="s">
        <v>153</v>
      </c>
      <c r="H7" s="8">
        <v>10301.4</v>
      </c>
      <c r="I7" s="60">
        <v>145483.51999999999</v>
      </c>
      <c r="J7" s="88"/>
      <c r="K7" s="7">
        <f>I7/12/1110.4</f>
        <v>10.918251681075887</v>
      </c>
      <c r="L7" s="13">
        <f>H7-I7</f>
        <v>-135182.12</v>
      </c>
      <c r="M7" s="31">
        <f>M6/D6*D7</f>
        <v>18972.19980060685</v>
      </c>
      <c r="N7" s="34">
        <f>L7+M7</f>
        <v>-116209.92019939315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142</v>
      </c>
      <c r="F8" s="7">
        <f>D8*12*1110.4</f>
        <v>133248</v>
      </c>
      <c r="G8" s="8" t="s">
        <v>142</v>
      </c>
      <c r="H8" s="8">
        <v>102882.97</v>
      </c>
      <c r="I8" s="60">
        <v>204961.17</v>
      </c>
      <c r="J8" s="88"/>
      <c r="K8" s="7">
        <f>I8/12/1110.4</f>
        <v>15.381932186599423</v>
      </c>
      <c r="L8" s="13">
        <f>H8-I8</f>
        <v>-102078.20000000001</v>
      </c>
      <c r="M8" s="31">
        <f>M7/D7*D8</f>
        <v>220606.97442566106</v>
      </c>
      <c r="N8" s="34">
        <f>L8+M8</f>
        <v>118528.77442566105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D9*12*1110.4</f>
        <v>162695.80800000002</v>
      </c>
      <c r="G9" s="53"/>
      <c r="H9" s="76">
        <v>146256.12</v>
      </c>
      <c r="I9" s="62">
        <v>471283.39</v>
      </c>
      <c r="J9" s="89"/>
      <c r="K9" s="47">
        <f>I9/12/1110.4</f>
        <v>35.368890339817483</v>
      </c>
      <c r="L9" s="50">
        <f>H9-I9</f>
        <v>-325027.27</v>
      </c>
      <c r="M9" s="50">
        <f>M6/D6*D9</f>
        <v>269361.11577373213</v>
      </c>
      <c r="N9" s="70">
        <f>L9+M9</f>
        <v>-55666.154226267885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140</v>
      </c>
      <c r="F14" s="7">
        <v>1200</v>
      </c>
      <c r="G14" s="8" t="s">
        <v>160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159</v>
      </c>
      <c r="F15" s="7">
        <v>220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132</v>
      </c>
      <c r="F16" s="7">
        <v>6500</v>
      </c>
      <c r="G16" s="8" t="s">
        <v>132</v>
      </c>
      <c r="H16" s="8">
        <v>6500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155</v>
      </c>
      <c r="F17" s="7">
        <v>5250</v>
      </c>
      <c r="G17" s="8" t="s">
        <v>132</v>
      </c>
      <c r="H17" s="8">
        <v>3500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130</v>
      </c>
      <c r="F19" s="7">
        <v>16000</v>
      </c>
      <c r="G19" s="8" t="s">
        <v>130</v>
      </c>
      <c r="H19" s="8">
        <v>16000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29170</v>
      </c>
      <c r="G21" s="13">
        <f>SUM(G14:G20)</f>
        <v>0</v>
      </c>
      <c r="H21" s="13">
        <f>SUM(H14:H20)</f>
        <v>28260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2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68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69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304053.37199999997</v>
      </c>
      <c r="G6" s="13"/>
      <c r="H6" s="13">
        <f>H7+H8+H9</f>
        <v>329258.62</v>
      </c>
      <c r="I6" s="58">
        <f>I7+I8+I9+H21</f>
        <v>865981.67999999993</v>
      </c>
      <c r="J6" s="88"/>
      <c r="K6" s="13"/>
      <c r="L6" s="13">
        <f>H6-I6</f>
        <v>-536723.05999999994</v>
      </c>
      <c r="M6" s="13">
        <v>502569.37</v>
      </c>
      <c r="N6" s="34">
        <f>L6+M6</f>
        <v>-34153.689999999944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113</v>
      </c>
      <c r="F7" s="7">
        <f>D7*12*1098.3</f>
        <v>11334.456</v>
      </c>
      <c r="G7" s="8" t="s">
        <v>162</v>
      </c>
      <c r="H7" s="8">
        <v>12322.41</v>
      </c>
      <c r="I7" s="60">
        <v>143662.35999999999</v>
      </c>
      <c r="J7" s="88"/>
      <c r="K7" s="7">
        <f>I7/12/1098.3</f>
        <v>10.900358129230023</v>
      </c>
      <c r="L7" s="13">
        <f>H7-I7</f>
        <v>-131339.94999999998</v>
      </c>
      <c r="M7" s="31">
        <f>M6/D6*D7</f>
        <v>18734.70560034677</v>
      </c>
      <c r="N7" s="34">
        <f>L7+M7</f>
        <v>-112605.24439965321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161</v>
      </c>
      <c r="F8" s="7">
        <f>D8*12*1098.3</f>
        <v>131796</v>
      </c>
      <c r="G8" s="8" t="s">
        <v>112</v>
      </c>
      <c r="H8" s="8">
        <v>141987.82</v>
      </c>
      <c r="I8" s="60">
        <v>202395.46</v>
      </c>
      <c r="J8" s="88"/>
      <c r="K8" s="7">
        <f>I8/12/1098.3</f>
        <v>15.356722510546604</v>
      </c>
      <c r="L8" s="13">
        <f>H8-I8</f>
        <v>-60407.639999999985</v>
      </c>
      <c r="M8" s="31">
        <f>M7/D7*D8</f>
        <v>217845.41395752056</v>
      </c>
      <c r="N8" s="34">
        <f>L8+M8</f>
        <v>157437.77395752058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D9*12*1098.3</f>
        <v>160922.916</v>
      </c>
      <c r="G9" s="53"/>
      <c r="H9" s="76">
        <v>174948.39</v>
      </c>
      <c r="I9" s="62">
        <v>465383.86</v>
      </c>
      <c r="J9" s="89"/>
      <c r="K9" s="47">
        <f>I9/12/1098.3</f>
        <v>35.310924459012419</v>
      </c>
      <c r="L9" s="50">
        <f>H9-I9</f>
        <v>-290435.46999999997</v>
      </c>
      <c r="M9" s="50">
        <f>M6/D6*D9</f>
        <v>265989.25044213264</v>
      </c>
      <c r="N9" s="70">
        <f>L9+M9</f>
        <v>-24446.219557867327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149</v>
      </c>
      <c r="F14" s="7">
        <v>800</v>
      </c>
      <c r="G14" s="8" t="s">
        <v>152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159</v>
      </c>
      <c r="F15" s="7">
        <v>220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144</v>
      </c>
      <c r="F16" s="7">
        <v>5200</v>
      </c>
      <c r="G16" s="8" t="s">
        <v>144</v>
      </c>
      <c r="H16" s="8">
        <v>5200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37</v>
      </c>
      <c r="F17" s="7">
        <v>3500</v>
      </c>
      <c r="G17" s="8" t="s">
        <v>37</v>
      </c>
      <c r="H17" s="8">
        <v>3500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133</v>
      </c>
      <c r="F19" s="7">
        <v>12000</v>
      </c>
      <c r="G19" s="8" t="s">
        <v>133</v>
      </c>
      <c r="H19" s="8">
        <v>12000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163</v>
      </c>
      <c r="F20" s="7">
        <v>31800</v>
      </c>
      <c r="G20" s="8" t="s">
        <v>163</v>
      </c>
      <c r="H20" s="8">
        <v>31800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53520</v>
      </c>
      <c r="G21" s="13">
        <f>SUM(G14:G20)</f>
        <v>0</v>
      </c>
      <c r="H21" s="13">
        <f>SUM(H14:H20)</f>
        <v>54540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70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71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305465.25600000005</v>
      </c>
      <c r="G6" s="13"/>
      <c r="H6" s="13">
        <f>H7+H8+H9</f>
        <v>301478.12</v>
      </c>
      <c r="I6" s="58">
        <f>I7+I8+I9+H21</f>
        <v>852177.8899999999</v>
      </c>
      <c r="J6" s="88"/>
      <c r="K6" s="13"/>
      <c r="L6" s="13">
        <f>H6-I6</f>
        <v>-550699.7699999999</v>
      </c>
      <c r="M6" s="13">
        <v>505731.91</v>
      </c>
      <c r="N6" s="34">
        <f>L6+M6</f>
        <v>-44967.859999999928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141</v>
      </c>
      <c r="F7" s="7">
        <f>D7*12*1103.4</f>
        <v>11387.088000000002</v>
      </c>
      <c r="G7" s="8" t="s">
        <v>165</v>
      </c>
      <c r="H7" s="8">
        <v>11397.6</v>
      </c>
      <c r="I7" s="60">
        <v>144566.39000000001</v>
      </c>
      <c r="J7" s="88"/>
      <c r="K7" s="7">
        <f>I7/12/1103.4</f>
        <v>10.918251918313093</v>
      </c>
      <c r="L7" s="13">
        <f>H7-I7</f>
        <v>-133168.79</v>
      </c>
      <c r="M7" s="31">
        <f>M6/D6*D7</f>
        <v>18852.598292154311</v>
      </c>
      <c r="N7" s="34">
        <f>L7+M7</f>
        <v>-114316.19170784569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164</v>
      </c>
      <c r="F8" s="7">
        <f>D8*12*1103.4</f>
        <v>132408</v>
      </c>
      <c r="G8" s="8" t="s">
        <v>166</v>
      </c>
      <c r="H8" s="8">
        <v>128264</v>
      </c>
      <c r="I8" s="60">
        <v>203669.09</v>
      </c>
      <c r="J8" s="88"/>
      <c r="K8" s="7">
        <f>I8/12/1103.4</f>
        <v>15.381932360582441</v>
      </c>
      <c r="L8" s="13">
        <f>H8-I8</f>
        <v>-75405.09</v>
      </c>
      <c r="M8" s="31">
        <f>M7/D7*D8</f>
        <v>219216.25921109665</v>
      </c>
      <c r="N8" s="34">
        <f>L8+M8</f>
        <v>143811.16921109665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D9*12*1103.4</f>
        <v>161670.16800000003</v>
      </c>
      <c r="G9" s="53"/>
      <c r="H9" s="76">
        <v>161816.51999999999</v>
      </c>
      <c r="I9" s="62">
        <v>468312.41</v>
      </c>
      <c r="J9" s="89"/>
      <c r="K9" s="47">
        <f>I9/12/1103.4</f>
        <v>35.368890852516458</v>
      </c>
      <c r="L9" s="50">
        <f>H9-I9</f>
        <v>-306495.89</v>
      </c>
      <c r="M9" s="50">
        <f>M6/D6*D9</f>
        <v>267663.05249674903</v>
      </c>
      <c r="N9" s="70">
        <f>L9+M9</f>
        <v>-38832.837503250979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167</v>
      </c>
      <c r="F14" s="7">
        <v>1360</v>
      </c>
      <c r="G14" s="8" t="s">
        <v>167</v>
      </c>
      <c r="H14" s="8">
        <v>1360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128</v>
      </c>
      <c r="F15" s="7">
        <v>660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168</v>
      </c>
      <c r="F16" s="7">
        <v>10400</v>
      </c>
      <c r="G16" s="8" t="s">
        <v>172</v>
      </c>
      <c r="H16" s="8">
        <v>9100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169</v>
      </c>
      <c r="F17" s="7">
        <v>2800</v>
      </c>
      <c r="G17" s="8" t="s">
        <v>169</v>
      </c>
      <c r="H17" s="8">
        <v>2800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170</v>
      </c>
      <c r="F19" s="7">
        <v>18000</v>
      </c>
      <c r="G19" s="8" t="s">
        <v>170</v>
      </c>
      <c r="H19" s="8">
        <v>18000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171</v>
      </c>
      <c r="F20" s="7">
        <v>3710</v>
      </c>
      <c r="G20" s="8" t="s">
        <v>171</v>
      </c>
      <c r="H20" s="8">
        <v>3710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36930</v>
      </c>
      <c r="G21" s="13">
        <f>SUM(G14:G20)</f>
        <v>0</v>
      </c>
      <c r="H21" s="13">
        <f>SUM(H14:H20)</f>
        <v>35630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B1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72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73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271220.14800000004</v>
      </c>
      <c r="G6" s="13"/>
      <c r="H6" s="13">
        <f>H7+H8+H9</f>
        <v>271220.05</v>
      </c>
      <c r="I6" s="58">
        <f>I7+I8+I9+H21</f>
        <v>749646.31</v>
      </c>
      <c r="J6" s="88"/>
      <c r="K6" s="13"/>
      <c r="L6" s="13">
        <f>H6-I6</f>
        <v>-478426.26000000007</v>
      </c>
      <c r="M6" s="13">
        <v>449035.3</v>
      </c>
      <c r="N6" s="34">
        <f>L6+M6</f>
        <v>-29390.960000000079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113</v>
      </c>
      <c r="F7" s="7">
        <f>D7*12*979.7</f>
        <v>10110.504000000001</v>
      </c>
      <c r="G7" s="8" t="s">
        <v>141</v>
      </c>
      <c r="H7" s="8">
        <v>10110.370000000001</v>
      </c>
      <c r="I7" s="60">
        <v>128359.33</v>
      </c>
      <c r="J7" s="88"/>
      <c r="K7" s="7">
        <f>I7/12/979.7</f>
        <v>10.918251335442823</v>
      </c>
      <c r="L7" s="13">
        <f>H7-I7</f>
        <v>-118248.96000000001</v>
      </c>
      <c r="M7" s="31">
        <f>M6/D6*D7</f>
        <v>16739.070567837018</v>
      </c>
      <c r="N7" s="34">
        <f>L7+M7</f>
        <v>-101509.88943216299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173</v>
      </c>
      <c r="F8" s="7">
        <f>D8*12*979.7</f>
        <v>117564</v>
      </c>
      <c r="G8" s="8" t="s">
        <v>174</v>
      </c>
      <c r="H8" s="8">
        <v>117564</v>
      </c>
      <c r="I8" s="60">
        <v>180836.15</v>
      </c>
      <c r="J8" s="88"/>
      <c r="K8" s="7">
        <f>I8/12/979.7</f>
        <v>15.381932394270354</v>
      </c>
      <c r="L8" s="13">
        <f>H8-I8</f>
        <v>-63272.149999999994</v>
      </c>
      <c r="M8" s="31">
        <f>M7/D7*D8</f>
        <v>194640.35543996532</v>
      </c>
      <c r="N8" s="34">
        <f>L8+M8</f>
        <v>131368.20543996533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D9*12*979.7</f>
        <v>143545.64400000003</v>
      </c>
      <c r="G9" s="53"/>
      <c r="H9" s="76">
        <v>143545.68</v>
      </c>
      <c r="I9" s="62">
        <v>415810.83</v>
      </c>
      <c r="J9" s="89"/>
      <c r="K9" s="47">
        <f>I9/12/979.7</f>
        <v>35.368890987036849</v>
      </c>
      <c r="L9" s="50">
        <f>H9-I9</f>
        <v>-272265.15000000002</v>
      </c>
      <c r="M9" s="50">
        <f>M6/D6*D9</f>
        <v>237655.87399219765</v>
      </c>
      <c r="N9" s="70">
        <f>L9+M9</f>
        <v>-34609.276007802371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175</v>
      </c>
      <c r="F14" s="7">
        <v>1640</v>
      </c>
      <c r="G14" s="8" t="s">
        <v>160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152</v>
      </c>
      <c r="F16" s="7">
        <v>2600</v>
      </c>
      <c r="G16" s="8" t="s">
        <v>152</v>
      </c>
      <c r="H16" s="8">
        <v>2600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>
        <v>0</v>
      </c>
      <c r="F17" s="7">
        <v>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150</v>
      </c>
      <c r="F19" s="7">
        <v>20000</v>
      </c>
      <c r="G19" s="8" t="s">
        <v>150</v>
      </c>
      <c r="H19" s="8">
        <v>20000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24680</v>
      </c>
      <c r="G21" s="13">
        <f>SUM(G14:G20)</f>
        <v>0</v>
      </c>
      <c r="H21" s="13">
        <f>SUM(H14:H20)</f>
        <v>24640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B2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74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75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138198.52799999999</v>
      </c>
      <c r="G6" s="13"/>
      <c r="H6" s="13">
        <f>H7+H8+H9</f>
        <v>122027.23</v>
      </c>
      <c r="I6" s="58">
        <f>I7+I8+I9+H21</f>
        <v>397502.43</v>
      </c>
      <c r="J6" s="88"/>
      <c r="K6" s="13"/>
      <c r="L6" s="13">
        <f>H6-I6</f>
        <v>-275475.20000000001</v>
      </c>
      <c r="M6" s="13">
        <v>228803.13</v>
      </c>
      <c r="N6" s="34">
        <f>L6+M6</f>
        <v>-46672.070000000007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102</v>
      </c>
      <c r="F7" s="7">
        <f>D7*12*499.2</f>
        <v>5151.7439999999997</v>
      </c>
      <c r="G7" s="8" t="s">
        <v>177</v>
      </c>
      <c r="H7" s="8">
        <v>4916.7299999999996</v>
      </c>
      <c r="I7" s="60">
        <v>65404.7</v>
      </c>
      <c r="J7" s="88"/>
      <c r="K7" s="7">
        <f>I7/12/499.2</f>
        <v>10.918252537393162</v>
      </c>
      <c r="L7" s="13">
        <f>H7-I7</f>
        <v>-60487.97</v>
      </c>
      <c r="M7" s="31">
        <f>M6/D6*D7</f>
        <v>8529.2887646293875</v>
      </c>
      <c r="N7" s="34">
        <f>L7+M7</f>
        <v>-51958.681235370612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176</v>
      </c>
      <c r="F8" s="7">
        <f>D8*12*499.2</f>
        <v>59904</v>
      </c>
      <c r="G8" s="8" t="s">
        <v>178</v>
      </c>
      <c r="H8" s="8">
        <v>47304.82</v>
      </c>
      <c r="I8" s="60">
        <v>92143.93</v>
      </c>
      <c r="J8" s="88"/>
      <c r="K8" s="7">
        <f>I8/12/499.2</f>
        <v>15.381932759081195</v>
      </c>
      <c r="L8" s="13">
        <f>H8-I8</f>
        <v>-44839.109999999993</v>
      </c>
      <c r="M8" s="31">
        <f>M7/D7*D8</f>
        <v>99177.776332899841</v>
      </c>
      <c r="N8" s="34">
        <f>L8+M8</f>
        <v>54338.666332899847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D9*12*499.2</f>
        <v>73142.784</v>
      </c>
      <c r="G9" s="53"/>
      <c r="H9" s="76">
        <v>69805.679999999993</v>
      </c>
      <c r="I9" s="62">
        <v>211873.8</v>
      </c>
      <c r="J9" s="89"/>
      <c r="K9" s="47">
        <f>I9/12/499.2</f>
        <v>35.368890224358971</v>
      </c>
      <c r="L9" s="50">
        <f>H9-I9</f>
        <v>-142068.12</v>
      </c>
      <c r="M9" s="50">
        <f>M6/D6*D9</f>
        <v>121096.06490247074</v>
      </c>
      <c r="N9" s="70">
        <f>L9+M9</f>
        <v>-20972.055097529257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152</v>
      </c>
      <c r="F14" s="7">
        <v>1600</v>
      </c>
      <c r="G14" s="8" t="s">
        <v>149</v>
      </c>
      <c r="H14" s="8">
        <v>800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106</v>
      </c>
      <c r="H15" s="8">
        <v>880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108</v>
      </c>
      <c r="F16" s="7">
        <v>13000</v>
      </c>
      <c r="G16" s="8" t="s">
        <v>108</v>
      </c>
      <c r="H16" s="8">
        <v>13000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 t="s">
        <v>179</v>
      </c>
      <c r="H17" s="8">
        <v>1400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133</v>
      </c>
      <c r="F19" s="7">
        <v>12000</v>
      </c>
      <c r="G19" s="8" t="s">
        <v>133</v>
      </c>
      <c r="H19" s="8">
        <v>12000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34040</v>
      </c>
      <c r="G21" s="13">
        <f>SUM(G14:G20)</f>
        <v>0</v>
      </c>
      <c r="H21" s="13">
        <f>SUM(H14:H20)</f>
        <v>28080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2" zoomScaleNormal="75" zoomScaleSheetLayoutView="100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28515625" style="32" bestFit="1" customWidth="1"/>
    <col min="13" max="13" width="11.7109375" style="30" bestFit="1" customWidth="1"/>
    <col min="14" max="14" width="13" style="33" customWidth="1"/>
  </cols>
  <sheetData>
    <row r="2" spans="1:14" x14ac:dyDescent="0.2">
      <c r="A2" s="94" t="s">
        <v>76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77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166159.36800000002</v>
      </c>
      <c r="G6" s="13"/>
      <c r="H6" s="13">
        <f>H7+H8+H9</f>
        <v>141151.29</v>
      </c>
      <c r="I6" s="58">
        <f>I7+I8+I9+H21</f>
        <v>505405.36</v>
      </c>
      <c r="J6" s="88"/>
      <c r="K6" s="13"/>
      <c r="L6" s="13">
        <f>H6-I6</f>
        <v>-364254.06999999995</v>
      </c>
      <c r="M6" s="13">
        <v>275095.43</v>
      </c>
      <c r="N6" s="34">
        <f>L6+M6</f>
        <v>-89158.639999999956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211</v>
      </c>
      <c r="F7" s="7">
        <f>D7*12*600.2</f>
        <v>6194.0640000000003</v>
      </c>
      <c r="G7" s="8" t="s">
        <v>177</v>
      </c>
      <c r="H7" s="8">
        <v>5852.8</v>
      </c>
      <c r="I7" s="60">
        <v>78637.62</v>
      </c>
      <c r="J7" s="88"/>
      <c r="K7" s="7">
        <f>I7/12/600.2</f>
        <v>10.918252249250248</v>
      </c>
      <c r="L7" s="13">
        <f>H7-I7</f>
        <v>-72784.819999999992</v>
      </c>
      <c r="M7" s="31">
        <f>M6/D6*D7</f>
        <v>10254.966181187689</v>
      </c>
      <c r="N7" s="34">
        <f>L7+M7</f>
        <v>-62529.853818812306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212</v>
      </c>
      <c r="F8" s="7">
        <f>D8*12*600.2</f>
        <v>72024</v>
      </c>
      <c r="G8" s="8" t="s">
        <v>213</v>
      </c>
      <c r="H8" s="8">
        <v>52197.29</v>
      </c>
      <c r="I8" s="60">
        <v>110786.83</v>
      </c>
      <c r="J8" s="88"/>
      <c r="K8" s="7">
        <f>I8/12/600.2</f>
        <v>15.381932411418417</v>
      </c>
      <c r="L8" s="13">
        <f>H8-I8</f>
        <v>-58589.54</v>
      </c>
      <c r="M8" s="31">
        <f>M7/D7*D8</f>
        <v>119243.792804508</v>
      </c>
      <c r="N8" s="34">
        <f>L8+M8</f>
        <v>60654.252804508003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D9*12*600.2</f>
        <v>87941.304000000018</v>
      </c>
      <c r="G9" s="53"/>
      <c r="H9" s="76">
        <v>83101.2</v>
      </c>
      <c r="I9" s="62">
        <v>254740.91</v>
      </c>
      <c r="J9" s="89"/>
      <c r="K9" s="47">
        <f>I9/12/600.2</f>
        <v>35.368892313673221</v>
      </c>
      <c r="L9" s="50">
        <f>H9-I9</f>
        <v>-171639.71000000002</v>
      </c>
      <c r="M9" s="50">
        <f>M6/D6*D9</f>
        <v>145596.6710143043</v>
      </c>
      <c r="N9" s="70">
        <f>L9+M9</f>
        <v>-26043.038985695719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23</v>
      </c>
      <c r="F14" s="7">
        <v>1192</v>
      </c>
      <c r="G14" s="8" t="s">
        <v>24</v>
      </c>
      <c r="H14" s="8">
        <v>360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128</v>
      </c>
      <c r="F15" s="7">
        <v>660</v>
      </c>
      <c r="G15" s="8" t="s">
        <v>106</v>
      </c>
      <c r="H15" s="8">
        <v>880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214</v>
      </c>
      <c r="F16" s="7">
        <v>62400</v>
      </c>
      <c r="G16" s="8" t="s">
        <v>215</v>
      </c>
      <c r="H16" s="8">
        <v>52000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33</v>
      </c>
      <c r="F17" s="7">
        <v>12250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109</v>
      </c>
      <c r="F19" s="7">
        <v>8000</v>
      </c>
      <c r="G19" s="8" t="s">
        <v>109</v>
      </c>
      <c r="H19" s="8">
        <v>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84502</v>
      </c>
      <c r="G21" s="13">
        <f>SUM(G14:G20)</f>
        <v>0</v>
      </c>
      <c r="H21" s="13">
        <f>SUM(H14:H20)</f>
        <v>61240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scale="6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78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79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197663.76</v>
      </c>
      <c r="G6" s="13"/>
      <c r="H6" s="13">
        <f>H7+H8+H9</f>
        <v>195831.76</v>
      </c>
      <c r="I6" s="58">
        <f>I7+I8+I9+H21</f>
        <v>548720.63</v>
      </c>
      <c r="J6" s="88"/>
      <c r="K6" s="13"/>
      <c r="L6" s="13">
        <f>H6-I6</f>
        <v>-352888.87</v>
      </c>
      <c r="M6" s="13">
        <v>327254.46999999997</v>
      </c>
      <c r="N6" s="34">
        <f>L6+M6</f>
        <v>-25634.400000000023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102</v>
      </c>
      <c r="F7" s="7">
        <f>D7*12*714</f>
        <v>7368.4800000000005</v>
      </c>
      <c r="G7" s="8" t="s">
        <v>102</v>
      </c>
      <c r="H7" s="8">
        <v>7300.2</v>
      </c>
      <c r="I7" s="60">
        <v>93547.58</v>
      </c>
      <c r="J7" s="88"/>
      <c r="K7" s="7">
        <f>I7/12/714</f>
        <v>10.918251633986928</v>
      </c>
      <c r="L7" s="13">
        <f>H7-I7</f>
        <v>-86247.38</v>
      </c>
      <c r="M7" s="31">
        <f>M6/D6*D7</f>
        <v>12199.34305158214</v>
      </c>
      <c r="N7" s="34">
        <f>L7+M7</f>
        <v>-74048.036948417866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180</v>
      </c>
      <c r="F8" s="7">
        <f>D8*12*714</f>
        <v>85680</v>
      </c>
      <c r="G8" s="8" t="s">
        <v>104</v>
      </c>
      <c r="H8" s="8">
        <v>84886</v>
      </c>
      <c r="I8" s="60">
        <v>131792.4</v>
      </c>
      <c r="J8" s="88"/>
      <c r="K8" s="7">
        <f>I8/12/714</f>
        <v>15.381932773109241</v>
      </c>
      <c r="L8" s="13">
        <f>H8-I8</f>
        <v>-46906.399999999994</v>
      </c>
      <c r="M8" s="31">
        <f>M7/D7*D8</f>
        <v>141852.82618118767</v>
      </c>
      <c r="N8" s="34">
        <f>L8+M8</f>
        <v>94946.426181187679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D9*12*714</f>
        <v>104615.28000000001</v>
      </c>
      <c r="G9" s="53"/>
      <c r="H9" s="76">
        <v>103645.56</v>
      </c>
      <c r="I9" s="62">
        <v>303040.65000000002</v>
      </c>
      <c r="J9" s="89"/>
      <c r="K9" s="47">
        <f>I9/12/714</f>
        <v>35.368890056022408</v>
      </c>
      <c r="L9" s="50">
        <f>H9-I9</f>
        <v>-199395.09000000003</v>
      </c>
      <c r="M9" s="50">
        <f>M6/D6*D9</f>
        <v>173202.30076723016</v>
      </c>
      <c r="N9" s="70">
        <f>L9+M9</f>
        <v>-26192.789232769865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5.5" x14ac:dyDescent="0.2">
      <c r="A11" s="19" t="s">
        <v>18</v>
      </c>
      <c r="B11" s="10">
        <v>14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181</v>
      </c>
      <c r="F14" s="7">
        <v>400</v>
      </c>
      <c r="G14" s="8">
        <v>0</v>
      </c>
      <c r="H14" s="8">
        <v>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159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116</v>
      </c>
      <c r="F16" s="7">
        <v>7800</v>
      </c>
      <c r="G16" s="8" t="s">
        <v>116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>
        <v>0</v>
      </c>
      <c r="F17" s="7">
        <v>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37</v>
      </c>
      <c r="F19" s="7">
        <v>4000</v>
      </c>
      <c r="G19" s="8" t="s">
        <v>37</v>
      </c>
      <c r="H19" s="8">
        <v>4000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133</v>
      </c>
      <c r="F20" s="7">
        <v>15900</v>
      </c>
      <c r="G20" s="8" t="s">
        <v>133</v>
      </c>
      <c r="H20" s="8">
        <v>15900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28540</v>
      </c>
      <c r="G21" s="13">
        <f>SUM(G14:G20)</f>
        <v>0</v>
      </c>
      <c r="H21" s="13">
        <f>SUM(H14:H20)</f>
        <v>20340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100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101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310946.68800000002</v>
      </c>
      <c r="G6" s="13"/>
      <c r="H6" s="13">
        <f>H7+H8+H9</f>
        <v>295426.76</v>
      </c>
      <c r="I6" s="58">
        <f>I7+I8+I9+H21</f>
        <v>896260.46</v>
      </c>
      <c r="J6" s="88"/>
      <c r="K6" s="13"/>
      <c r="L6" s="13">
        <f>H6-I6</f>
        <v>-600833.69999999995</v>
      </c>
      <c r="M6" s="13">
        <v>514807.03999999998</v>
      </c>
      <c r="N6" s="34">
        <f>L6+M6</f>
        <v>-86026.659999999974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113</v>
      </c>
      <c r="F7" s="7">
        <f>D7*12*1123.2</f>
        <v>11591.424000000001</v>
      </c>
      <c r="G7" s="8" t="s">
        <v>113</v>
      </c>
      <c r="H7" s="8">
        <v>11030.16</v>
      </c>
      <c r="I7" s="60">
        <v>147160.56</v>
      </c>
      <c r="J7" s="88"/>
      <c r="K7" s="7">
        <f>I7/12/1123.2</f>
        <v>10.918251424501424</v>
      </c>
      <c r="L7" s="13">
        <f>H7-I7</f>
        <v>-136130.4</v>
      </c>
      <c r="M7" s="31">
        <f>M6/D6*D7</f>
        <v>19190.899627221497</v>
      </c>
      <c r="N7" s="34">
        <f>L7+M7</f>
        <v>-116939.50037277849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182</v>
      </c>
      <c r="F8" s="7">
        <f>D8*12*1123.2</f>
        <v>134784</v>
      </c>
      <c r="G8" s="8" t="s">
        <v>183</v>
      </c>
      <c r="H8" s="8">
        <v>127796</v>
      </c>
      <c r="I8" s="60">
        <v>207323.84</v>
      </c>
      <c r="J8" s="88"/>
      <c r="K8" s="7">
        <f>I8/12/1123.2</f>
        <v>15.38193257359924</v>
      </c>
      <c r="L8" s="13">
        <f>H8-I8</f>
        <v>-79527.839999999997</v>
      </c>
      <c r="M8" s="31">
        <f>M7/D7*D8</f>
        <v>223149.99566536627</v>
      </c>
      <c r="N8" s="34">
        <f>L8+M8</f>
        <v>143622.15566536627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D9*1123.2*12</f>
        <v>164571.26400000002</v>
      </c>
      <c r="G9" s="53"/>
      <c r="H9" s="76">
        <v>156600.6</v>
      </c>
      <c r="I9" s="62">
        <v>476716.06</v>
      </c>
      <c r="J9" s="89"/>
      <c r="K9" s="47">
        <f>I9/12/1123.2</f>
        <v>35.368890966286799</v>
      </c>
      <c r="L9" s="50">
        <f>H9-I9</f>
        <v>-320115.45999999996</v>
      </c>
      <c r="M9" s="50">
        <f>M6/D6*D9</f>
        <v>272466.14470741223</v>
      </c>
      <c r="N9" s="70">
        <f>L9+M9</f>
        <v>-47649.315292587737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123</v>
      </c>
      <c r="F14" s="7">
        <v>1200</v>
      </c>
      <c r="G14" s="8" t="s">
        <v>123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4110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>
        <v>0</v>
      </c>
      <c r="F16" s="7">
        <v>0</v>
      </c>
      <c r="G16" s="8">
        <v>0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184</v>
      </c>
      <c r="F17" s="7">
        <v>8750</v>
      </c>
      <c r="G17" s="8" t="s">
        <v>134</v>
      </c>
      <c r="H17" s="8">
        <v>1750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185</v>
      </c>
      <c r="F18" s="7">
        <v>22000</v>
      </c>
      <c r="G18" s="8" t="s">
        <v>185</v>
      </c>
      <c r="H18" s="8">
        <v>22000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186</v>
      </c>
      <c r="F19" s="7">
        <v>36000</v>
      </c>
      <c r="G19" s="8" t="s">
        <v>186</v>
      </c>
      <c r="H19" s="8">
        <v>36000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68390</v>
      </c>
      <c r="G21" s="13">
        <f>SUM(G14:G20)</f>
        <v>0</v>
      </c>
      <c r="H21" s="13">
        <f>SUM(H14:H20)</f>
        <v>65060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A4:A5"/>
    <mergeCell ref="B4:B5"/>
    <mergeCell ref="C4:C5"/>
    <mergeCell ref="D4:D5"/>
    <mergeCell ref="G4:H4"/>
    <mergeCell ref="I4:J4"/>
    <mergeCell ref="I9:J11"/>
    <mergeCell ref="K4:K5"/>
    <mergeCell ref="L4:L5"/>
    <mergeCell ref="M4:M5"/>
    <mergeCell ref="N4:N5"/>
    <mergeCell ref="I7:J7"/>
    <mergeCell ref="I8:J8"/>
    <mergeCell ref="I5:J5"/>
    <mergeCell ref="I6:J6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1" t="s">
        <v>92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93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304385.58</v>
      </c>
      <c r="G6" s="13"/>
      <c r="H6" s="13">
        <f>H7+H8+H9</f>
        <v>303383.88</v>
      </c>
      <c r="I6" s="58">
        <f>I7+I8+I9+H21</f>
        <v>841821.37</v>
      </c>
      <c r="J6" s="88"/>
      <c r="K6" s="13"/>
      <c r="L6" s="13">
        <f>H6-I6</f>
        <v>-538437.49</v>
      </c>
      <c r="M6" s="13">
        <v>503944.39</v>
      </c>
      <c r="N6" s="34">
        <f>L6+M6</f>
        <v>-34493.099999999977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126</v>
      </c>
      <c r="F7" s="7">
        <f>D7*12*1099.5</f>
        <v>11346.84</v>
      </c>
      <c r="G7" s="8" t="s">
        <v>113</v>
      </c>
      <c r="H7" s="8">
        <v>11346.96</v>
      </c>
      <c r="I7" s="60">
        <v>144055.41</v>
      </c>
      <c r="J7" s="88"/>
      <c r="K7" s="7">
        <f>I7/12/1099.5</f>
        <v>10.918251477944521</v>
      </c>
      <c r="L7" s="13">
        <f>H7-I7</f>
        <v>-132708.45000000001</v>
      </c>
      <c r="M7" s="31">
        <f>M6/D6*D7</f>
        <v>18785.963389683573</v>
      </c>
      <c r="N7" s="34">
        <f>L7+M7</f>
        <v>-113922.48661031644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187</v>
      </c>
      <c r="F8" s="7">
        <f>D8*12*1099.5</f>
        <v>131940</v>
      </c>
      <c r="G8" s="8" t="s">
        <v>188</v>
      </c>
      <c r="H8" s="8">
        <v>130938.24000000001</v>
      </c>
      <c r="I8" s="60">
        <v>202949.21</v>
      </c>
      <c r="J8" s="88"/>
      <c r="K8" s="7">
        <f>I8/12/1099.5</f>
        <v>15.381931938760042</v>
      </c>
      <c r="L8" s="13">
        <f>H8-I8</f>
        <v>-72010.969999999987</v>
      </c>
      <c r="M8" s="31">
        <f>M7/D7*D8</f>
        <v>218441.43476376249</v>
      </c>
      <c r="N8" s="34">
        <f>L8+M8</f>
        <v>146430.46476376249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D9*12*1099.5</f>
        <v>161098.74000000002</v>
      </c>
      <c r="G9" s="53"/>
      <c r="H9" s="76">
        <v>161098.68</v>
      </c>
      <c r="I9" s="62">
        <v>470646.75</v>
      </c>
      <c r="J9" s="89"/>
      <c r="K9" s="47">
        <f>I9/12/1099.5</f>
        <v>35.6712710322874</v>
      </c>
      <c r="L9" s="50">
        <f>H9-I9</f>
        <v>-309548.07</v>
      </c>
      <c r="M9" s="50">
        <f>M6/D6*D9</f>
        <v>266716.99184655398</v>
      </c>
      <c r="N9" s="70">
        <f>L9+M9</f>
        <v>-42831.078153446026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143</v>
      </c>
      <c r="F14" s="7">
        <v>1120</v>
      </c>
      <c r="G14" s="8" t="s">
        <v>140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159</v>
      </c>
      <c r="F15" s="7">
        <v>220</v>
      </c>
      <c r="G15" s="8" t="s">
        <v>159</v>
      </c>
      <c r="H15" s="8">
        <v>220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189</v>
      </c>
      <c r="F16" s="7">
        <v>3900</v>
      </c>
      <c r="G16" s="8" t="s">
        <v>189</v>
      </c>
      <c r="H16" s="8">
        <v>650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190</v>
      </c>
      <c r="F17" s="7">
        <v>4900</v>
      </c>
      <c r="G17" s="8" t="s">
        <v>192</v>
      </c>
      <c r="H17" s="8">
        <v>4900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191</v>
      </c>
      <c r="F18" s="7">
        <v>7200</v>
      </c>
      <c r="G18" s="8" t="s">
        <v>191</v>
      </c>
      <c r="H18" s="8">
        <v>7200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184</v>
      </c>
      <c r="F19" s="7">
        <v>10000</v>
      </c>
      <c r="G19" s="8" t="s">
        <v>184</v>
      </c>
      <c r="H19" s="8">
        <v>10000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27340</v>
      </c>
      <c r="G21" s="13">
        <f>SUM(G14:G20)</f>
        <v>0</v>
      </c>
      <c r="H21" s="13">
        <f>SUM(H14:H20)</f>
        <v>24170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A12:N12"/>
    <mergeCell ref="K9:K11"/>
    <mergeCell ref="D9:D11"/>
    <mergeCell ref="E9:E11"/>
    <mergeCell ref="F9:F11"/>
    <mergeCell ref="G9:G11"/>
    <mergeCell ref="H9:H11"/>
    <mergeCell ref="I9:J11"/>
    <mergeCell ref="L9:L11"/>
    <mergeCell ref="M9:M11"/>
    <mergeCell ref="N4:N5"/>
    <mergeCell ref="I7:J7"/>
    <mergeCell ref="I8:J8"/>
    <mergeCell ref="I5:J5"/>
    <mergeCell ref="I6:J6"/>
    <mergeCell ref="K4:K5"/>
    <mergeCell ref="L4:L5"/>
    <mergeCell ref="M4:M5"/>
    <mergeCell ref="N9:N11"/>
    <mergeCell ref="G4:H4"/>
    <mergeCell ref="I4:J4"/>
    <mergeCell ref="A4:A5"/>
    <mergeCell ref="B4:B5"/>
    <mergeCell ref="C4:C5"/>
    <mergeCell ref="D4:D5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3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1" t="s">
        <v>94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95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306295.77600000007</v>
      </c>
      <c r="G6" s="13"/>
      <c r="H6" s="13">
        <f>H7+H8+H9</f>
        <v>277171.20000000001</v>
      </c>
      <c r="I6" s="58">
        <f>I7+I8+I9+H21</f>
        <v>870327.97</v>
      </c>
      <c r="J6" s="88"/>
      <c r="K6" s="13"/>
      <c r="L6" s="13">
        <f>H6-I6</f>
        <v>-593156.77</v>
      </c>
      <c r="M6" s="13">
        <v>507106.93</v>
      </c>
      <c r="N6" s="34">
        <f>L6+M6</f>
        <v>-86049.840000000026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141</v>
      </c>
      <c r="F7" s="7">
        <f>D7*12*1106.4</f>
        <v>11418.048000000001</v>
      </c>
      <c r="G7" s="8" t="s">
        <v>113</v>
      </c>
      <c r="H7" s="8">
        <v>11417.76</v>
      </c>
      <c r="I7" s="60">
        <v>144959.44</v>
      </c>
      <c r="J7" s="88"/>
      <c r="K7" s="7">
        <f>I7/12/1106.4</f>
        <v>10.918251385876113</v>
      </c>
      <c r="L7" s="13">
        <f>H7-I7</f>
        <v>-133541.68</v>
      </c>
      <c r="M7" s="31">
        <f>M6/D6*D7</f>
        <v>18903.856081491114</v>
      </c>
      <c r="N7" s="34">
        <f>L7+M7</f>
        <v>-114637.82391850888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174</v>
      </c>
      <c r="F8" s="7">
        <f>D8*12*1106.4</f>
        <v>132768</v>
      </c>
      <c r="G8" s="8" t="s">
        <v>173</v>
      </c>
      <c r="H8" s="8">
        <v>103644</v>
      </c>
      <c r="I8" s="60">
        <v>204222.84</v>
      </c>
      <c r="J8" s="88"/>
      <c r="K8" s="7">
        <f>I8/12/1106.4</f>
        <v>15.381932393347792</v>
      </c>
      <c r="L8" s="13">
        <f>H8-I8</f>
        <v>-100578.84</v>
      </c>
      <c r="M8" s="31">
        <f>M7/D7*D8</f>
        <v>219812.28001733852</v>
      </c>
      <c r="N8" s="34">
        <f>L8+M8</f>
        <v>119233.44001733852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D9*12*1106.4</f>
        <v>162109.72800000003</v>
      </c>
      <c r="G9" s="53"/>
      <c r="H9" s="76">
        <v>162109.44</v>
      </c>
      <c r="I9" s="62">
        <v>469585.69</v>
      </c>
      <c r="J9" s="89"/>
      <c r="K9" s="47">
        <f>I9/12/1106.4</f>
        <v>35.368890847192091</v>
      </c>
      <c r="L9" s="50">
        <f>H9-I9</f>
        <v>-307476.25</v>
      </c>
      <c r="M9" s="50">
        <f>M6/D6*D9</f>
        <v>268390.79390117037</v>
      </c>
      <c r="N9" s="70">
        <f>L9+M9</f>
        <v>-39085.456098829629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181</v>
      </c>
      <c r="F14" s="7">
        <v>400</v>
      </c>
      <c r="G14" s="8" t="s">
        <v>181</v>
      </c>
      <c r="H14" s="8">
        <v>400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128</v>
      </c>
      <c r="F15" s="7">
        <v>660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144</v>
      </c>
      <c r="F16" s="7">
        <v>5200</v>
      </c>
      <c r="G16" s="8" t="s">
        <v>144</v>
      </c>
      <c r="H16" s="8">
        <v>5200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>
        <v>0</v>
      </c>
      <c r="H17" s="8"/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133</v>
      </c>
      <c r="F18" s="7">
        <v>12000</v>
      </c>
      <c r="G18" s="8" t="s">
        <v>133</v>
      </c>
      <c r="H18" s="8">
        <v>12000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117</v>
      </c>
      <c r="F19" s="7">
        <v>28000</v>
      </c>
      <c r="G19" s="8" t="s">
        <v>117</v>
      </c>
      <c r="H19" s="8">
        <v>28000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37</v>
      </c>
      <c r="F20" s="7">
        <v>5300</v>
      </c>
      <c r="G20" s="8" t="s">
        <v>37</v>
      </c>
      <c r="H20" s="8">
        <v>5300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58560</v>
      </c>
      <c r="G21" s="13">
        <f>SUM(G14:G20)</f>
        <v>0</v>
      </c>
      <c r="H21" s="13">
        <f>SUM(H14:H20)</f>
        <v>51560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A12:N12"/>
    <mergeCell ref="K9:K11"/>
    <mergeCell ref="D9:D11"/>
    <mergeCell ref="E9:E11"/>
    <mergeCell ref="F9:F11"/>
    <mergeCell ref="G9:G11"/>
    <mergeCell ref="H9:H11"/>
    <mergeCell ref="I9:J11"/>
    <mergeCell ref="L9:L11"/>
    <mergeCell ref="M9:M11"/>
    <mergeCell ref="N4:N5"/>
    <mergeCell ref="I7:J7"/>
    <mergeCell ref="I8:J8"/>
    <mergeCell ref="I5:J5"/>
    <mergeCell ref="I6:J6"/>
    <mergeCell ref="K4:K5"/>
    <mergeCell ref="L4:L5"/>
    <mergeCell ref="M4:M5"/>
    <mergeCell ref="N9:N11"/>
    <mergeCell ref="G4:H4"/>
    <mergeCell ref="I4:J4"/>
    <mergeCell ref="A4:A5"/>
    <mergeCell ref="B4:B5"/>
    <mergeCell ref="C4:C5"/>
    <mergeCell ref="D4:D5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1" t="s">
        <v>48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51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306987.87600000005</v>
      </c>
      <c r="G6" s="13"/>
      <c r="H6" s="13">
        <f>H7+H8+H9</f>
        <v>258590.24</v>
      </c>
      <c r="I6" s="58">
        <f>I7+I8+I9+H21</f>
        <v>858598.04</v>
      </c>
      <c r="J6" s="88"/>
      <c r="K6" s="13"/>
      <c r="L6" s="13">
        <f>H6-I6</f>
        <v>-600007.80000000005</v>
      </c>
      <c r="M6" s="13">
        <v>508252.78</v>
      </c>
      <c r="N6" s="34">
        <f>L6+M6</f>
        <v>-91755.020000000019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111</v>
      </c>
      <c r="F7" s="7">
        <f>D7*12*1108.9</f>
        <v>11443.848000000002</v>
      </c>
      <c r="G7" s="8" t="s">
        <v>113</v>
      </c>
      <c r="H7" s="8">
        <v>9832.92</v>
      </c>
      <c r="I7" s="60">
        <v>145286.99</v>
      </c>
      <c r="J7" s="88"/>
      <c r="K7" s="7">
        <f>I7/12/1108.9</f>
        <v>10.918251570625543</v>
      </c>
      <c r="L7" s="13">
        <f>H7-I7</f>
        <v>-135454.06999999998</v>
      </c>
      <c r="M7" s="31">
        <f>M6/D6*D7</f>
        <v>18946.570905938446</v>
      </c>
      <c r="N7" s="34">
        <f>L7+M7</f>
        <v>-116507.49909406152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112</v>
      </c>
      <c r="F8" s="7">
        <f>D8*12*1108.9</f>
        <v>133068</v>
      </c>
      <c r="G8" s="8" t="s">
        <v>112</v>
      </c>
      <c r="H8" s="8">
        <v>109153.16</v>
      </c>
      <c r="I8" s="60">
        <v>204684.3</v>
      </c>
      <c r="J8" s="88"/>
      <c r="K8" s="7">
        <f>I8/12/1108.9</f>
        <v>15.381932545766071</v>
      </c>
      <c r="L8" s="13">
        <f>H8-I8</f>
        <v>-95531.139999999985</v>
      </c>
      <c r="M8" s="31">
        <f>M7/D7*D8</f>
        <v>220308.96402254005</v>
      </c>
      <c r="N8" s="34">
        <f>L8+M8</f>
        <v>124777.82402254007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D9*12*1108.9</f>
        <v>162476.02800000002</v>
      </c>
      <c r="G9" s="53"/>
      <c r="H9" s="76">
        <v>139604.16</v>
      </c>
      <c r="I9" s="62">
        <v>470646.75</v>
      </c>
      <c r="J9" s="89"/>
      <c r="K9" s="47">
        <f>I9/12/1108.9</f>
        <v>35.368890341780137</v>
      </c>
      <c r="L9" s="50">
        <f>H9-I9</f>
        <v>-331042.58999999997</v>
      </c>
      <c r="M9" s="50">
        <f>M6/D6*D9</f>
        <v>268997.24507152149</v>
      </c>
      <c r="N9" s="70">
        <f>L9+M9</f>
        <v>-62045.344928478473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114</v>
      </c>
      <c r="F14" s="7">
        <v>1040</v>
      </c>
      <c r="G14" s="8" t="s">
        <v>114</v>
      </c>
      <c r="H14" s="8">
        <v>1040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115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116</v>
      </c>
      <c r="F16" s="7">
        <v>7800</v>
      </c>
      <c r="G16" s="8" t="s">
        <v>116</v>
      </c>
      <c r="H16" s="8">
        <v>7800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37</v>
      </c>
      <c r="F17" s="7">
        <v>3500</v>
      </c>
      <c r="G17" s="8" t="s">
        <v>119</v>
      </c>
      <c r="H17" s="8">
        <v>700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117</v>
      </c>
      <c r="F19" s="7">
        <v>28000</v>
      </c>
      <c r="G19" s="8" t="s">
        <v>117</v>
      </c>
      <c r="H19" s="8">
        <v>28000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40780</v>
      </c>
      <c r="G21" s="13">
        <f>SUM(G14:G20)</f>
        <v>0</v>
      </c>
      <c r="H21" s="13">
        <f>SUM(H14:H20)</f>
        <v>37980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2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96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1" t="s">
        <v>98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308898.07200000004</v>
      </c>
      <c r="G6" s="13"/>
      <c r="H6" s="13">
        <f>H7+H8+H9</f>
        <v>275440.98</v>
      </c>
      <c r="I6" s="58">
        <f>I7+I8+I9+H21</f>
        <v>886886.23</v>
      </c>
      <c r="J6" s="88"/>
      <c r="K6" s="13"/>
      <c r="L6" s="13">
        <f>H6-I6</f>
        <v>-611445.25</v>
      </c>
      <c r="M6" s="13">
        <v>511323.66</v>
      </c>
      <c r="N6" s="34">
        <f>L6+M6</f>
        <v>-100121.59000000003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146</v>
      </c>
      <c r="F7" s="7">
        <f>D7*12*1115.8</f>
        <v>11515.056</v>
      </c>
      <c r="G7" s="8" t="s">
        <v>153</v>
      </c>
      <c r="H7" s="8">
        <v>10541.88</v>
      </c>
      <c r="I7" s="60">
        <v>146164.82</v>
      </c>
      <c r="J7" s="88"/>
      <c r="K7" s="7">
        <f>I7/12/1115.8</f>
        <v>10.91629473621318</v>
      </c>
      <c r="L7" s="13">
        <f>H7-I7</f>
        <v>-135622.94</v>
      </c>
      <c r="M7" s="31">
        <f>M6/D6*D7</f>
        <v>19061.046710013001</v>
      </c>
      <c r="N7" s="34">
        <f>L7+M7</f>
        <v>-116561.893289987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193</v>
      </c>
      <c r="F8" s="7">
        <f>D8*12*1115.8</f>
        <v>133896</v>
      </c>
      <c r="G8" s="8" t="s">
        <v>174</v>
      </c>
      <c r="H8" s="8">
        <v>115229.34</v>
      </c>
      <c r="I8" s="60">
        <v>205921</v>
      </c>
      <c r="J8" s="88"/>
      <c r="K8" s="7">
        <f>I8/12/1115.8</f>
        <v>15.379174881997969</v>
      </c>
      <c r="L8" s="13">
        <f>H8-I8</f>
        <v>-90691.66</v>
      </c>
      <c r="M8" s="31">
        <f>M7/D7*D8</f>
        <v>221640.078023407</v>
      </c>
      <c r="N8" s="34">
        <f>L8+M8</f>
        <v>130948.41802340699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D9*12*1115.8</f>
        <v>163487.016</v>
      </c>
      <c r="G9" s="53"/>
      <c r="H9" s="76">
        <v>149669.76000000001</v>
      </c>
      <c r="I9" s="62">
        <v>473490.41</v>
      </c>
      <c r="J9" s="89"/>
      <c r="K9" s="47">
        <f>I9/12/1115.8</f>
        <v>35.362550785684412</v>
      </c>
      <c r="L9" s="50">
        <f>H9-I9</f>
        <v>-323820.64999999997</v>
      </c>
      <c r="M9" s="50">
        <f>M6/D6*D9</f>
        <v>270622.53526657994</v>
      </c>
      <c r="N9" s="70">
        <f>L9+M9</f>
        <v>-53198.114733420021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135</v>
      </c>
      <c r="F14" s="7">
        <v>800</v>
      </c>
      <c r="G14" s="8" t="s">
        <v>140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132</v>
      </c>
      <c r="F16" s="7">
        <v>6500</v>
      </c>
      <c r="G16" s="8" t="s">
        <v>132</v>
      </c>
      <c r="H16" s="8">
        <v>6500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</v>
      </c>
      <c r="G17" s="8" t="s">
        <v>134</v>
      </c>
      <c r="H17" s="8">
        <v>1750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185</v>
      </c>
      <c r="F18" s="7">
        <v>22000</v>
      </c>
      <c r="G18" s="8" t="s">
        <v>185</v>
      </c>
      <c r="H18" s="8">
        <v>22000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109</v>
      </c>
      <c r="F19" s="7">
        <v>8000</v>
      </c>
      <c r="G19" s="8" t="s">
        <v>109</v>
      </c>
      <c r="H19" s="8">
        <v>8000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130</v>
      </c>
      <c r="F20" s="7">
        <v>21200</v>
      </c>
      <c r="G20" s="8" t="s">
        <v>130</v>
      </c>
      <c r="H20" s="8">
        <v>21200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59640</v>
      </c>
      <c r="G21" s="13">
        <f>SUM(G14:G20)</f>
        <v>0</v>
      </c>
      <c r="H21" s="13">
        <f>SUM(H14:H20)</f>
        <v>61310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6">
    <mergeCell ref="G4:H4"/>
    <mergeCell ref="I4:J4"/>
    <mergeCell ref="I9:J11"/>
    <mergeCell ref="K4:K5"/>
    <mergeCell ref="I7:J7"/>
    <mergeCell ref="I8:J8"/>
    <mergeCell ref="N4:N5"/>
    <mergeCell ref="A2:G2"/>
    <mergeCell ref="I5:J5"/>
    <mergeCell ref="I6:J6"/>
    <mergeCell ref="A4:A5"/>
    <mergeCell ref="B4:B5"/>
    <mergeCell ref="C4:C5"/>
    <mergeCell ref="D4:D5"/>
    <mergeCell ref="L4:L5"/>
    <mergeCell ref="M4:M5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97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99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305880.51600000006</v>
      </c>
      <c r="G6" s="13"/>
      <c r="H6" s="13">
        <f>H7+H8+H9</f>
        <v>304248.36</v>
      </c>
      <c r="I6" s="58">
        <f>I7+I8+I9+H21</f>
        <v>852117.92999999993</v>
      </c>
      <c r="J6" s="88"/>
      <c r="K6" s="13"/>
      <c r="L6" s="13">
        <f>H6-I6</f>
        <v>-547869.56999999995</v>
      </c>
      <c r="M6" s="13">
        <v>506419.42</v>
      </c>
      <c r="N6" s="34">
        <f>L6+M6</f>
        <v>-41450.149999999965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194</v>
      </c>
      <c r="F7" s="7">
        <f>D7*12*1104.9</f>
        <v>11402.568000000001</v>
      </c>
      <c r="G7" s="8" t="s">
        <v>194</v>
      </c>
      <c r="H7" s="8">
        <v>11402.64</v>
      </c>
      <c r="I7" s="60">
        <v>144762.92000000001</v>
      </c>
      <c r="J7" s="88"/>
      <c r="K7" s="7">
        <f>I7/12/1104.9</f>
        <v>10.918252028841222</v>
      </c>
      <c r="L7" s="13">
        <f>H7-I7</f>
        <v>-133360.28000000003</v>
      </c>
      <c r="M7" s="31">
        <f>M6/D6*D7</f>
        <v>18878.227186822711</v>
      </c>
      <c r="N7" s="34">
        <f>L7+M7</f>
        <v>-114482.05281317732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142</v>
      </c>
      <c r="F8" s="7">
        <f>D8*12*1104.9</f>
        <v>132588</v>
      </c>
      <c r="G8" s="8" t="s">
        <v>174</v>
      </c>
      <c r="H8" s="8">
        <v>130956</v>
      </c>
      <c r="I8" s="60">
        <v>203945.96</v>
      </c>
      <c r="J8" s="88"/>
      <c r="K8" s="7">
        <f>I8/12/1104.9</f>
        <v>15.381931999879324</v>
      </c>
      <c r="L8" s="13">
        <f>H8-I8</f>
        <v>-72989.959999999992</v>
      </c>
      <c r="M8" s="31">
        <f>M7/D7*D8</f>
        <v>219514.26961421757</v>
      </c>
      <c r="N8" s="34">
        <f>L8+M8</f>
        <v>146524.30961421758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D9*12*1104.9</f>
        <v>161889.94800000003</v>
      </c>
      <c r="G9" s="53"/>
      <c r="H9" s="76">
        <v>161889.72</v>
      </c>
      <c r="I9" s="62">
        <v>468949.05</v>
      </c>
      <c r="J9" s="89"/>
      <c r="K9" s="47">
        <f>I9/12/1104.9</f>
        <v>35.368890849850665</v>
      </c>
      <c r="L9" s="50">
        <f>H9-I9</f>
        <v>-307059.32999999996</v>
      </c>
      <c r="M9" s="50">
        <f>M6/D6*D9</f>
        <v>268026.92319895967</v>
      </c>
      <c r="N9" s="70">
        <f>L9+M9</f>
        <v>-39032.406801040284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181</v>
      </c>
      <c r="F14" s="7">
        <v>400</v>
      </c>
      <c r="G14" s="8" t="s">
        <v>123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189</v>
      </c>
      <c r="F16" s="7">
        <v>3900</v>
      </c>
      <c r="G16" s="8" t="s">
        <v>189</v>
      </c>
      <c r="H16" s="8">
        <v>3900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 t="s">
        <v>37</v>
      </c>
      <c r="H17" s="8">
        <v>3500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37</v>
      </c>
      <c r="F18" s="7">
        <v>4000</v>
      </c>
      <c r="G18" s="8" t="s">
        <v>169</v>
      </c>
      <c r="H18" s="8">
        <v>3200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185</v>
      </c>
      <c r="F19" s="7">
        <v>22000</v>
      </c>
      <c r="G19" s="8" t="s">
        <v>185</v>
      </c>
      <c r="H19" s="8">
        <v>22000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37740</v>
      </c>
      <c r="G21" s="13">
        <f>SUM(G14:G20)</f>
        <v>0</v>
      </c>
      <c r="H21" s="13">
        <f>SUM(H14:H20)</f>
        <v>34460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N9:N11"/>
    <mergeCell ref="A12:N12"/>
    <mergeCell ref="K9:K11"/>
    <mergeCell ref="D9:D11"/>
    <mergeCell ref="E9:E11"/>
    <mergeCell ref="F9:F11"/>
    <mergeCell ref="G9:G11"/>
    <mergeCell ref="H9:H11"/>
    <mergeCell ref="I9:J11"/>
    <mergeCell ref="L9:L11"/>
    <mergeCell ref="M9:M11"/>
    <mergeCell ref="I8:J8"/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N4:N5"/>
    <mergeCell ref="I7:J7"/>
    <mergeCell ref="K4:K5"/>
    <mergeCell ref="L4:L5"/>
    <mergeCell ref="M4:M5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B4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90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91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304524</v>
      </c>
      <c r="G6" s="13"/>
      <c r="H6" s="13">
        <f>H7+H8+H9</f>
        <v>276687.32</v>
      </c>
      <c r="I6" s="58">
        <f>I7+I8+I9+H21</f>
        <v>854211.79</v>
      </c>
      <c r="J6" s="88"/>
      <c r="K6" s="13"/>
      <c r="L6" s="13">
        <f>H6-I6</f>
        <v>-577524.47</v>
      </c>
      <c r="M6" s="13">
        <v>504173.56</v>
      </c>
      <c r="N6" s="34">
        <f>L6+M6</f>
        <v>-73350.909999999974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165</v>
      </c>
      <c r="F7" s="7">
        <f>D7*12*1100</f>
        <v>11352</v>
      </c>
      <c r="G7" s="8" t="s">
        <v>113</v>
      </c>
      <c r="H7" s="8">
        <v>10611</v>
      </c>
      <c r="I7" s="60">
        <v>144120.92000000001</v>
      </c>
      <c r="J7" s="88"/>
      <c r="K7" s="7">
        <f>I7/12/1100</f>
        <v>10.918251515151516</v>
      </c>
      <c r="L7" s="13">
        <f>H7-I7</f>
        <v>-133509.92000000001</v>
      </c>
      <c r="M7" s="31">
        <f>M6/D6*D7</f>
        <v>18794.506354573037</v>
      </c>
      <c r="N7" s="34">
        <f>L7+M7</f>
        <v>-114715.41364542698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193</v>
      </c>
      <c r="F8" s="7">
        <f>D8*12*1100</f>
        <v>132000</v>
      </c>
      <c r="G8" s="8" t="s">
        <v>188</v>
      </c>
      <c r="H8" s="8">
        <v>115424.84</v>
      </c>
      <c r="I8" s="60">
        <v>203041.51</v>
      </c>
      <c r="J8" s="88"/>
      <c r="K8" s="7">
        <f>I8/12/1100</f>
        <v>15.381932575757578</v>
      </c>
      <c r="L8" s="13">
        <f>H8-I8</f>
        <v>-87616.670000000013</v>
      </c>
      <c r="M8" s="31">
        <f>M7/D7*D8</f>
        <v>218540.77156480274</v>
      </c>
      <c r="N8" s="34">
        <f>L8+M8</f>
        <v>130924.10156480272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D9*1100*12</f>
        <v>161172.00000000003</v>
      </c>
      <c r="G9" s="53"/>
      <c r="H9" s="76">
        <v>150651.48000000001</v>
      </c>
      <c r="I9" s="62">
        <v>466869.36</v>
      </c>
      <c r="J9" s="89"/>
      <c r="K9" s="47">
        <f>I9/12/1100</f>
        <v>35.368890909090908</v>
      </c>
      <c r="L9" s="50">
        <f>H9-I9</f>
        <v>-316217.88</v>
      </c>
      <c r="M9" s="50">
        <f>M6/D6*D9</f>
        <v>266838.28208062419</v>
      </c>
      <c r="N9" s="70">
        <f>L9+M9</f>
        <v>-49379.59791937581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167</v>
      </c>
      <c r="F14" s="7">
        <v>1360</v>
      </c>
      <c r="G14" s="8" t="s">
        <v>195</v>
      </c>
      <c r="H14" s="8">
        <v>840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>
        <v>0</v>
      </c>
      <c r="F16" s="7">
        <f>D16*12*3388.6</f>
        <v>26431080</v>
      </c>
      <c r="G16" s="8">
        <v>0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 t="s">
        <v>109</v>
      </c>
      <c r="H17" s="8">
        <v>7000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f>D18*12*3388.6</f>
        <v>16265280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130</v>
      </c>
      <c r="F19" s="7">
        <v>16000</v>
      </c>
      <c r="G19" s="8" t="s">
        <v>130</v>
      </c>
      <c r="H19" s="8">
        <v>16000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133</v>
      </c>
      <c r="F20" s="7">
        <v>15900</v>
      </c>
      <c r="G20" s="8" t="s">
        <v>133</v>
      </c>
      <c r="H20" s="8">
        <v>15900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42737060</v>
      </c>
      <c r="G21" s="13">
        <f>SUM(G14:G20)</f>
        <v>0</v>
      </c>
      <c r="H21" s="13">
        <f>SUM(H14:H20)</f>
        <v>40180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H9:H11"/>
    <mergeCell ref="N4:N5"/>
    <mergeCell ref="D9:D11"/>
    <mergeCell ref="E9:E11"/>
    <mergeCell ref="F9:F11"/>
    <mergeCell ref="K9:K11"/>
    <mergeCell ref="L9:L11"/>
    <mergeCell ref="G4:H4"/>
    <mergeCell ref="M9:M11"/>
    <mergeCell ref="K4:K5"/>
    <mergeCell ref="I5:J5"/>
    <mergeCell ref="I6:J6"/>
    <mergeCell ref="I7:J7"/>
    <mergeCell ref="L4:L5"/>
    <mergeCell ref="M4:M5"/>
    <mergeCell ref="I8:J8"/>
    <mergeCell ref="I4:J4"/>
    <mergeCell ref="A4:A5"/>
    <mergeCell ref="B4:B5"/>
    <mergeCell ref="C4:C5"/>
    <mergeCell ref="D4:D5"/>
    <mergeCell ref="G9:G11"/>
    <mergeCell ref="I9:J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C11" sqref="C11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88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89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229029.73200000002</v>
      </c>
      <c r="G6" s="13"/>
      <c r="H6" s="13">
        <f>H7+H8+H9</f>
        <v>205289.66</v>
      </c>
      <c r="I6" s="58">
        <f>I7+I8+I9+H21</f>
        <v>634955.91</v>
      </c>
      <c r="J6" s="88"/>
      <c r="K6" s="13"/>
      <c r="L6" s="13">
        <f>H6-I6</f>
        <v>-429666.25</v>
      </c>
      <c r="M6" s="13">
        <v>379184.35</v>
      </c>
      <c r="N6" s="34">
        <f>L6+M6</f>
        <v>-50481.900000000023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196</v>
      </c>
      <c r="F7" s="7">
        <f>D7*12*827.3</f>
        <v>8537.735999999999</v>
      </c>
      <c r="G7" s="8" t="s">
        <v>177</v>
      </c>
      <c r="H7" s="8">
        <v>7787.28</v>
      </c>
      <c r="I7" s="60">
        <v>108392.04</v>
      </c>
      <c r="J7" s="88"/>
      <c r="K7" s="7">
        <f>I7/12/827.3</f>
        <v>10.918252145533664</v>
      </c>
      <c r="L7" s="13">
        <f>H7-I7</f>
        <v>-100604.76</v>
      </c>
      <c r="M7" s="31">
        <f>M6/D6*D7</f>
        <v>14135.177329865624</v>
      </c>
      <c r="N7" s="34">
        <f>L7+M7</f>
        <v>-86469.582670134376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197</v>
      </c>
      <c r="F8" s="7">
        <f>D8*12*827.3</f>
        <v>99276</v>
      </c>
      <c r="G8" s="8" t="s">
        <v>198</v>
      </c>
      <c r="H8" s="8">
        <v>86938.46</v>
      </c>
      <c r="I8" s="60">
        <v>152705.67000000001</v>
      </c>
      <c r="J8" s="88"/>
      <c r="K8" s="7">
        <f>I8/12/827.3</f>
        <v>15.381932189048715</v>
      </c>
      <c r="L8" s="13">
        <f>H8-I8</f>
        <v>-65767.210000000006</v>
      </c>
      <c r="M8" s="31">
        <f>M7/D7*D8</f>
        <v>164362.52709146077</v>
      </c>
      <c r="N8" s="34">
        <f>L8+M8</f>
        <v>98595.317091460762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D9*827.3*12</f>
        <v>121215.99600000001</v>
      </c>
      <c r="G9" s="53"/>
      <c r="H9" s="76">
        <v>110563.92</v>
      </c>
      <c r="I9" s="62">
        <v>351128.2</v>
      </c>
      <c r="J9" s="89"/>
      <c r="K9" s="47">
        <f>I9/12/827.3</f>
        <v>35.368890769168786</v>
      </c>
      <c r="L9" s="50">
        <f>H9-I9</f>
        <v>-240564.28000000003</v>
      </c>
      <c r="M9" s="50">
        <f>M6/D6*D9</f>
        <v>200686.6455786736</v>
      </c>
      <c r="N9" s="70">
        <f>L9+M9</f>
        <v>-39877.634421326424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181</v>
      </c>
      <c r="F14" s="7">
        <v>450</v>
      </c>
      <c r="G14" s="8" t="s">
        <v>123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159</v>
      </c>
      <c r="H15" s="8">
        <v>220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132</v>
      </c>
      <c r="F16" s="7">
        <v>6500</v>
      </c>
      <c r="G16" s="8" t="s">
        <v>132</v>
      </c>
      <c r="H16" s="8">
        <v>6500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155</v>
      </c>
      <c r="F17" s="7">
        <v>5250</v>
      </c>
      <c r="G17" s="8" t="s">
        <v>134</v>
      </c>
      <c r="H17" s="8">
        <v>1750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155</v>
      </c>
      <c r="F18" s="7">
        <v>6000</v>
      </c>
      <c r="G18" s="8" t="s">
        <v>155</v>
      </c>
      <c r="H18" s="8">
        <v>6000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155</v>
      </c>
      <c r="F19" s="7">
        <v>6000</v>
      </c>
      <c r="G19" s="8" t="s">
        <v>155</v>
      </c>
      <c r="H19" s="8">
        <v>6000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109</v>
      </c>
      <c r="F20" s="7">
        <v>1060</v>
      </c>
      <c r="G20" s="8" t="s">
        <v>109</v>
      </c>
      <c r="H20" s="8">
        <v>1060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25700</v>
      </c>
      <c r="G21" s="13">
        <f>SUM(G14:G20)</f>
        <v>0</v>
      </c>
      <c r="H21" s="13">
        <f>SUM(H14:H20)</f>
        <v>22730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B4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86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87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313299.82799999998</v>
      </c>
      <c r="G6" s="13"/>
      <c r="H6" s="13">
        <f>H7+H8+H9</f>
        <v>180742.39999999999</v>
      </c>
      <c r="I6" s="58">
        <f>I7+I8+I9+H21</f>
        <v>880810.7</v>
      </c>
      <c r="J6" s="88"/>
      <c r="K6" s="13"/>
      <c r="L6" s="13">
        <f>H6-I6</f>
        <v>-700068.29999999993</v>
      </c>
      <c r="M6" s="13">
        <v>518702.92</v>
      </c>
      <c r="N6" s="34">
        <f>L6+M6</f>
        <v>-181365.37999999995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141</v>
      </c>
      <c r="F7" s="7">
        <f>D7*12*1131.7</f>
        <v>11679.144</v>
      </c>
      <c r="G7" s="8" t="s">
        <v>113</v>
      </c>
      <c r="H7" s="8">
        <v>10750.2</v>
      </c>
      <c r="I7" s="60">
        <v>148274.23000000001</v>
      </c>
      <c r="J7" s="88"/>
      <c r="K7" s="7">
        <f>I7/12/1131.7</f>
        <v>10.91825203970428</v>
      </c>
      <c r="L7" s="13">
        <f>H7-I7</f>
        <v>-137524.03</v>
      </c>
      <c r="M7" s="31">
        <f>M6/D6*D7</f>
        <v>19336.129657563935</v>
      </c>
      <c r="N7" s="34">
        <f>L7+M7</f>
        <v>-118187.90034243607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199</v>
      </c>
      <c r="F8" s="7">
        <f>D8*12*1131.7</f>
        <v>135804</v>
      </c>
      <c r="G8" s="8" t="s">
        <v>200</v>
      </c>
      <c r="H8" s="8">
        <v>17362.64</v>
      </c>
      <c r="I8" s="60">
        <v>208892.79</v>
      </c>
      <c r="J8" s="88"/>
      <c r="K8" s="7">
        <f>I8/12/1131.7</f>
        <v>15.381932049129629</v>
      </c>
      <c r="L8" s="13">
        <f>H8-I8</f>
        <v>-191530.15000000002</v>
      </c>
      <c r="M8" s="31">
        <f>M7/D7*D8</f>
        <v>224838.71694841786</v>
      </c>
      <c r="N8" s="34">
        <f>L8+M8</f>
        <v>33308.566948417836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D9*1131.7*12</f>
        <v>165816.68400000001</v>
      </c>
      <c r="G9" s="53"/>
      <c r="H9" s="76">
        <v>152629.56</v>
      </c>
      <c r="I9" s="62">
        <v>480323.68</v>
      </c>
      <c r="J9" s="89"/>
      <c r="K9" s="47">
        <f>I9/12/1131.7</f>
        <v>35.368890459780275</v>
      </c>
      <c r="L9" s="50">
        <f>H9-I9</f>
        <v>-327694.12</v>
      </c>
      <c r="M9" s="50">
        <f>M6/D6*D9</f>
        <v>274528.07339401823</v>
      </c>
      <c r="N9" s="70">
        <f>L9+M9</f>
        <v>-53166.04660598177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201</v>
      </c>
      <c r="F14" s="7">
        <v>1280</v>
      </c>
      <c r="G14" s="8" t="s">
        <v>160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106</v>
      </c>
      <c r="F15" s="7">
        <v>880</v>
      </c>
      <c r="G15" s="8" t="s">
        <v>106</v>
      </c>
      <c r="H15" s="8">
        <v>880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189</v>
      </c>
      <c r="F16" s="7">
        <v>3900</v>
      </c>
      <c r="G16" s="8" t="s">
        <v>116</v>
      </c>
      <c r="H16" s="8">
        <v>7800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37</v>
      </c>
      <c r="F17" s="7">
        <v>3500</v>
      </c>
      <c r="G17" s="8" t="s">
        <v>37</v>
      </c>
      <c r="H17" s="8">
        <v>3500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109</v>
      </c>
      <c r="F18" s="7">
        <v>8000</v>
      </c>
      <c r="G18" s="8" t="s">
        <v>109</v>
      </c>
      <c r="H18" s="8">
        <v>8000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133</v>
      </c>
      <c r="F19" s="7">
        <v>12000</v>
      </c>
      <c r="G19" s="8" t="s">
        <v>133</v>
      </c>
      <c r="H19" s="8">
        <v>12000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191</v>
      </c>
      <c r="F20" s="7">
        <v>9540</v>
      </c>
      <c r="G20" s="8" t="s">
        <v>191</v>
      </c>
      <c r="H20" s="8">
        <v>9540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39100</v>
      </c>
      <c r="G21" s="13">
        <f>SUM(G14:G20)</f>
        <v>0</v>
      </c>
      <c r="H21" s="13">
        <f>SUM(H14:H20)</f>
        <v>43320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B1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84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85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193151.26800000001</v>
      </c>
      <c r="G6" s="13"/>
      <c r="H6" s="13">
        <f>H7+H8+H9</f>
        <v>98520.97</v>
      </c>
      <c r="I6" s="58">
        <f>I7+I8+I9+H21</f>
        <v>540914.15999999992</v>
      </c>
      <c r="J6" s="88"/>
      <c r="K6" s="13"/>
      <c r="L6" s="13">
        <f>H6-I6</f>
        <v>-442393.18999999994</v>
      </c>
      <c r="M6" s="13">
        <v>319737.7</v>
      </c>
      <c r="N6" s="34">
        <f>L6+M6</f>
        <v>-122655.48999999993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202</v>
      </c>
      <c r="F7" s="7">
        <f>D7*12*697.7</f>
        <v>7200.264000000001</v>
      </c>
      <c r="G7" s="8" t="s">
        <v>203</v>
      </c>
      <c r="H7" s="8">
        <v>4272.78</v>
      </c>
      <c r="I7" s="60">
        <v>91398.87</v>
      </c>
      <c r="J7" s="88"/>
      <c r="K7" s="7">
        <f>I7/12/697.7</f>
        <v>10.916686971477711</v>
      </c>
      <c r="L7" s="13">
        <f>H7-I7</f>
        <v>-87126.09</v>
      </c>
      <c r="M7" s="31">
        <f>M6/D6*D7</f>
        <v>11919.134026874728</v>
      </c>
      <c r="N7" s="34">
        <f>L7+M7</f>
        <v>-75206.955973125267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198</v>
      </c>
      <c r="F8" s="7">
        <f>D8*12*697.7</f>
        <v>83724</v>
      </c>
      <c r="G8" s="8" t="s">
        <v>204</v>
      </c>
      <c r="H8" s="8">
        <v>33584.129999999997</v>
      </c>
      <c r="I8" s="60">
        <v>128765.23</v>
      </c>
      <c r="J8" s="88"/>
      <c r="K8" s="7">
        <f>I8/12/697.7</f>
        <v>15.379727437771725</v>
      </c>
      <c r="L8" s="13">
        <f>H8-I8</f>
        <v>-95181.1</v>
      </c>
      <c r="M8" s="31">
        <f>M7/D7*D8</f>
        <v>138594.58170784567</v>
      </c>
      <c r="N8" s="34">
        <f>L8+M8</f>
        <v>43413.481707845669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D9*697.7*12</f>
        <v>102227.00400000002</v>
      </c>
      <c r="G9" s="53"/>
      <c r="H9" s="76">
        <v>60664.06</v>
      </c>
      <c r="I9" s="62">
        <v>296080.06</v>
      </c>
      <c r="J9" s="89"/>
      <c r="K9" s="47">
        <f>I9/12/697.7</f>
        <v>35.36382160431895</v>
      </c>
      <c r="L9" s="50">
        <f>H9-I9</f>
        <v>-235416</v>
      </c>
      <c r="M9" s="50">
        <f>M6/D6*D9</f>
        <v>169223.98426527958</v>
      </c>
      <c r="N9" s="70">
        <f>L9+M9</f>
        <v>-66192.015734720422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149</v>
      </c>
      <c r="F14" s="7">
        <v>800</v>
      </c>
      <c r="G14" s="8" t="s">
        <v>149</v>
      </c>
      <c r="H14" s="8">
        <v>800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159</v>
      </c>
      <c r="F15" s="7">
        <v>220</v>
      </c>
      <c r="G15" s="8" t="s">
        <v>159</v>
      </c>
      <c r="H15" s="8">
        <v>220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108</v>
      </c>
      <c r="F16" s="7">
        <v>13000</v>
      </c>
      <c r="G16" s="8" t="s">
        <v>108</v>
      </c>
      <c r="H16" s="8">
        <v>13000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>
        <v>0</v>
      </c>
      <c r="F17" s="7">
        <v>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37</v>
      </c>
      <c r="F18" s="7">
        <v>4000</v>
      </c>
      <c r="G18" s="8" t="s">
        <v>37</v>
      </c>
      <c r="H18" s="8">
        <v>4000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37</v>
      </c>
      <c r="F19" s="7">
        <v>4000</v>
      </c>
      <c r="G19" s="8" t="s">
        <v>37</v>
      </c>
      <c r="H19" s="8">
        <v>4000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134</v>
      </c>
      <c r="F20" s="7">
        <v>2650</v>
      </c>
      <c r="G20" s="8" t="s">
        <v>134</v>
      </c>
      <c r="H20" s="8">
        <v>2650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24670</v>
      </c>
      <c r="G21" s="13">
        <f>SUM(G14:G20)</f>
        <v>0</v>
      </c>
      <c r="H21" s="13">
        <f>SUM(H14:H20)</f>
        <v>24670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82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83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137561.796</v>
      </c>
      <c r="G6" s="13"/>
      <c r="H6" s="13">
        <f>H7+H8+H9</f>
        <v>91329.359999999986</v>
      </c>
      <c r="I6" s="58">
        <f>I7+I8+I9+H21</f>
        <v>403430.36</v>
      </c>
      <c r="J6" s="88"/>
      <c r="K6" s="13"/>
      <c r="L6" s="13">
        <f>H6-I6</f>
        <v>-312101</v>
      </c>
      <c r="M6" s="13">
        <v>227748.95</v>
      </c>
      <c r="N6" s="34">
        <f>L6+M6</f>
        <v>-84352.049999999988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205</v>
      </c>
      <c r="F7" s="7">
        <f>D7*12*496.9</f>
        <v>5128.0079999999998</v>
      </c>
      <c r="G7" s="8" t="s">
        <v>205</v>
      </c>
      <c r="H7" s="8">
        <v>3404.52</v>
      </c>
      <c r="I7" s="60">
        <v>65103.35</v>
      </c>
      <c r="J7" s="88"/>
      <c r="K7" s="7">
        <f>I7/12/496.9</f>
        <v>10.918251492587375</v>
      </c>
      <c r="L7" s="13">
        <f>H7-I7</f>
        <v>-61698.83</v>
      </c>
      <c r="M7" s="31">
        <f>M6/D6*D7</f>
        <v>8489.9912006935429</v>
      </c>
      <c r="N7" s="34">
        <f>L7+M7</f>
        <v>-53208.838799306461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206</v>
      </c>
      <c r="F8" s="7">
        <f>D8*12*496.9</f>
        <v>59628</v>
      </c>
      <c r="G8" s="8" t="s">
        <v>207</v>
      </c>
      <c r="H8" s="8">
        <v>39588</v>
      </c>
      <c r="I8" s="60">
        <v>91719.39</v>
      </c>
      <c r="J8" s="88"/>
      <c r="K8" s="7">
        <f>I8/12/496.9</f>
        <v>15.381932984503926</v>
      </c>
      <c r="L8" s="13">
        <f>H8-I8</f>
        <v>-52131.39</v>
      </c>
      <c r="M8" s="31">
        <f>M7/D7*D8</f>
        <v>98720.827915041184</v>
      </c>
      <c r="N8" s="34">
        <f>L8+M8</f>
        <v>46589.437915041184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D9*496.9*12</f>
        <v>72805.788</v>
      </c>
      <c r="G9" s="53"/>
      <c r="H9" s="76">
        <v>48336.84</v>
      </c>
      <c r="I9" s="62">
        <v>210897.62</v>
      </c>
      <c r="J9" s="89"/>
      <c r="K9" s="47">
        <f>I9/12/496.9</f>
        <v>35.36889045414906</v>
      </c>
      <c r="L9" s="50">
        <f>H9-I9</f>
        <v>-162560.78</v>
      </c>
      <c r="M9" s="50">
        <f>M6/D6*D9</f>
        <v>120538.13088426531</v>
      </c>
      <c r="N9" s="70">
        <f>L9+M9</f>
        <v>-42022.64911573469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208</v>
      </c>
      <c r="F14" s="7">
        <v>1680</v>
      </c>
      <c r="G14" s="8" t="s">
        <v>160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116</v>
      </c>
      <c r="F16" s="7">
        <v>7800</v>
      </c>
      <c r="G16" s="8" t="s">
        <v>116</v>
      </c>
      <c r="H16" s="8">
        <v>7800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133</v>
      </c>
      <c r="F17" s="7">
        <v>10500</v>
      </c>
      <c r="G17" s="8" t="s">
        <v>134</v>
      </c>
      <c r="H17" s="8">
        <v>1750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 t="s">
        <v>37</v>
      </c>
      <c r="F18" s="7">
        <v>4000</v>
      </c>
      <c r="G18" s="8" t="s">
        <v>37</v>
      </c>
      <c r="H18" s="8">
        <v>4000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130</v>
      </c>
      <c r="F19" s="7">
        <v>4000</v>
      </c>
      <c r="G19" s="8" t="s">
        <v>130</v>
      </c>
      <c r="H19" s="8">
        <v>4000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133</v>
      </c>
      <c r="F20" s="7">
        <v>15900</v>
      </c>
      <c r="G20" s="8" t="s">
        <v>133</v>
      </c>
      <c r="H20" s="8">
        <v>15900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44320</v>
      </c>
      <c r="G21" s="13">
        <f>SUM(G14:G20)</f>
        <v>0</v>
      </c>
      <c r="H21" s="13">
        <f>SUM(H14:H20)</f>
        <v>35710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4" max="4" width="9.28515625" bestFit="1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1" max="11" width="9.28515625" bestFit="1" customWidth="1"/>
    <col min="12" max="12" width="12.7109375" style="32" bestFit="1" customWidth="1"/>
    <col min="13" max="13" width="12.140625" style="30" bestFit="1" customWidth="1"/>
    <col min="14" max="14" width="13" style="33" customWidth="1"/>
  </cols>
  <sheetData>
    <row r="2" spans="1:14" x14ac:dyDescent="0.2">
      <c r="A2" s="1" t="s">
        <v>80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81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146891.304</v>
      </c>
      <c r="G6" s="13"/>
      <c r="H6" s="13">
        <f>H7+H8+H9</f>
        <v>146891.03999999998</v>
      </c>
      <c r="I6" s="58">
        <f>I7+I8+I9+H21</f>
        <v>392659.32999999996</v>
      </c>
      <c r="J6" s="88"/>
      <c r="K6" s="13"/>
      <c r="L6" s="13">
        <f>H6-I6</f>
        <v>-245768.28999999998</v>
      </c>
      <c r="M6" s="13">
        <v>243194.99</v>
      </c>
      <c r="N6" s="34">
        <f>L6+M6</f>
        <v>-2573.2999999999884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209</v>
      </c>
      <c r="F7" s="7">
        <f>D7*12*530.6</f>
        <v>5475.7920000000004</v>
      </c>
      <c r="G7" s="8" t="s">
        <v>102</v>
      </c>
      <c r="H7" s="8">
        <v>5475.84</v>
      </c>
      <c r="I7" s="60">
        <v>69518.69</v>
      </c>
      <c r="J7" s="88"/>
      <c r="K7" s="7">
        <f>I7/12/530.6</f>
        <v>10.918251350672195</v>
      </c>
      <c r="L7" s="13">
        <f>H7-I7</f>
        <v>-64042.850000000006</v>
      </c>
      <c r="M7" s="31">
        <f>M6/D6*D7</f>
        <v>9065.786363242305</v>
      </c>
      <c r="N7" s="34">
        <f>L7+M7</f>
        <v>-54977.063636757703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210</v>
      </c>
      <c r="F8" s="7">
        <f>D8*12*530.6</f>
        <v>63672</v>
      </c>
      <c r="G8" s="8" t="s">
        <v>204</v>
      </c>
      <c r="H8" s="8">
        <v>63672</v>
      </c>
      <c r="I8" s="60">
        <v>97939.839999999997</v>
      </c>
      <c r="J8" s="88"/>
      <c r="K8" s="7">
        <f>I8/12/530.6</f>
        <v>15.381932403568285</v>
      </c>
      <c r="L8" s="13">
        <f>H8-I8</f>
        <v>-34267.839999999997</v>
      </c>
      <c r="M8" s="31">
        <f>M7/D7*D8</f>
        <v>105416.1205028175</v>
      </c>
      <c r="N8" s="34">
        <f>L8+M8</f>
        <v>71148.280502817506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D9*530.6*12</f>
        <v>77743.512000000017</v>
      </c>
      <c r="G9" s="53"/>
      <c r="H9" s="76">
        <v>77743.199999999997</v>
      </c>
      <c r="I9" s="62">
        <v>225200.8</v>
      </c>
      <c r="J9" s="89"/>
      <c r="K9" s="47">
        <f>I9/12/530.6</f>
        <v>35.368890564141225</v>
      </c>
      <c r="L9" s="50">
        <f>H9-I9</f>
        <v>-147457.59999999998</v>
      </c>
      <c r="M9" s="50">
        <f>M6/D6*D9</f>
        <v>128713.08313394018</v>
      </c>
      <c r="N9" s="70">
        <f>L9+M9</f>
        <v>-18744.516866059799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/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>
        <v>0</v>
      </c>
      <c r="F14" s="7">
        <v>0</v>
      </c>
      <c r="G14" s="8">
        <v>0</v>
      </c>
      <c r="H14" s="8">
        <v>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>
        <v>0</v>
      </c>
      <c r="F15" s="7">
        <v>0</v>
      </c>
      <c r="G15" s="8">
        <v>0</v>
      </c>
      <c r="H15" s="8">
        <v>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>
        <v>0</v>
      </c>
      <c r="F16" s="7">
        <v>0</v>
      </c>
      <c r="G16" s="8">
        <v>0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>
        <v>0</v>
      </c>
      <c r="F17" s="7">
        <v>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>
        <v>0</v>
      </c>
      <c r="F19" s="7">
        <v>0</v>
      </c>
      <c r="G19" s="8">
        <v>0</v>
      </c>
      <c r="H19" s="8">
        <v>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9"/>
      <c r="F21" s="13"/>
      <c r="G21" s="9"/>
      <c r="H21" s="9"/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1" t="s">
        <v>49</v>
      </c>
      <c r="B2" s="1"/>
      <c r="C2" s="1"/>
      <c r="D2" s="1"/>
      <c r="E2" s="1"/>
      <c r="F2" s="22"/>
      <c r="G2" s="1"/>
      <c r="H2" s="1"/>
      <c r="I2" s="1"/>
      <c r="J2" s="1"/>
      <c r="K2" s="1"/>
    </row>
    <row r="3" spans="1:14" x14ac:dyDescent="0.2">
      <c r="A3" s="1" t="s">
        <v>54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143818.38</v>
      </c>
      <c r="G6" s="13"/>
      <c r="H6" s="13">
        <f>H7+H8+H9</f>
        <v>121219.30000000002</v>
      </c>
      <c r="I6" s="58">
        <f>I7+I8+I9+H21</f>
        <v>433885.01</v>
      </c>
      <c r="J6" s="88"/>
      <c r="K6" s="13"/>
      <c r="L6" s="13">
        <f>H6-I6</f>
        <v>-312665.70999999996</v>
      </c>
      <c r="M6" s="13">
        <v>238107.42</v>
      </c>
      <c r="N6" s="34">
        <f>L6+M6</f>
        <v>-74558.28999999995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120</v>
      </c>
      <c r="F7" s="7">
        <f>D7*12*519.5</f>
        <v>5361.24</v>
      </c>
      <c r="G7" s="8" t="s">
        <v>120</v>
      </c>
      <c r="H7" s="8">
        <v>4617.12</v>
      </c>
      <c r="I7" s="60">
        <v>68064.38</v>
      </c>
      <c r="J7" s="88"/>
      <c r="K7" s="7">
        <f>I7/12/721.4</f>
        <v>7.8625334996765552</v>
      </c>
      <c r="L7" s="13">
        <f>H7-I7</f>
        <v>-63447.26</v>
      </c>
      <c r="M7" s="31">
        <f>M6/D6*D7</f>
        <v>8876.1326918075429</v>
      </c>
      <c r="N7" s="34">
        <f>L7+M7</f>
        <v>-54571.127308192459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121</v>
      </c>
      <c r="F8" s="7">
        <f>D8*12*519.5</f>
        <v>62340</v>
      </c>
      <c r="G8" s="8" t="s">
        <v>122</v>
      </c>
      <c r="H8" s="8">
        <v>51049.3</v>
      </c>
      <c r="I8" s="60">
        <v>95890.97</v>
      </c>
      <c r="J8" s="88"/>
      <c r="K8" s="7">
        <f>I8/12/721.4</f>
        <v>11.076953377691526</v>
      </c>
      <c r="L8" s="13">
        <f>H8-I8</f>
        <v>-44841.67</v>
      </c>
      <c r="M8" s="31">
        <f>M7/D7*D8</f>
        <v>103210.84525357609</v>
      </c>
      <c r="N8" s="34">
        <f>L8+M8</f>
        <v>58369.17525357609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D9*12*519.5</f>
        <v>76117.14</v>
      </c>
      <c r="G9" s="53"/>
      <c r="H9" s="76">
        <v>65552.88</v>
      </c>
      <c r="I9" s="62">
        <v>220489.66</v>
      </c>
      <c r="J9" s="89"/>
      <c r="K9" s="47">
        <f>I9/12/721.4</f>
        <v>25.470111357545512</v>
      </c>
      <c r="L9" s="50">
        <f>H9-I9</f>
        <v>-154936.78</v>
      </c>
      <c r="M9" s="50">
        <f>M6/D6*D9</f>
        <v>126020.4420546164</v>
      </c>
      <c r="N9" s="70">
        <f>L9+M9</f>
        <v>-28916.337945383595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229.5" x14ac:dyDescent="0.2">
      <c r="A11" s="19" t="s">
        <v>18</v>
      </c>
      <c r="B11" s="10" t="s">
        <v>19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/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123</v>
      </c>
      <c r="F14" s="7">
        <v>1200</v>
      </c>
      <c r="G14" s="8" t="s">
        <v>123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116</v>
      </c>
      <c r="F16" s="7">
        <v>7800</v>
      </c>
      <c r="G16" s="8" t="s">
        <v>116</v>
      </c>
      <c r="H16" s="8">
        <v>7800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124</v>
      </c>
      <c r="F19" s="7">
        <v>40000</v>
      </c>
      <c r="G19" s="8" t="s">
        <v>124</v>
      </c>
      <c r="H19" s="8">
        <v>40000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>
        <v>0</v>
      </c>
      <c r="F20" s="7">
        <v>0</v>
      </c>
      <c r="G20" s="8">
        <v>0</v>
      </c>
      <c r="H20" s="8">
        <v>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56440</v>
      </c>
      <c r="G21" s="13">
        <f>SUM(G14:G20)</f>
        <v>0</v>
      </c>
      <c r="H21" s="13">
        <f>SUM(H14:H20)</f>
        <v>49440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  <c r="L22" s="37"/>
      <c r="M22" s="38"/>
      <c r="N22" s="39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5">
    <mergeCell ref="N9:N11"/>
    <mergeCell ref="A12:N12"/>
    <mergeCell ref="K9:K11"/>
    <mergeCell ref="I7:J7"/>
    <mergeCell ref="I8:J8"/>
    <mergeCell ref="D9:D11"/>
    <mergeCell ref="E9:E11"/>
    <mergeCell ref="F9:F11"/>
    <mergeCell ref="G9:G11"/>
    <mergeCell ref="H9:H11"/>
    <mergeCell ref="I9:J11"/>
    <mergeCell ref="K4:K5"/>
    <mergeCell ref="L4:L5"/>
    <mergeCell ref="M4:M5"/>
    <mergeCell ref="L9:L11"/>
    <mergeCell ref="M9:M11"/>
    <mergeCell ref="N4:N5"/>
    <mergeCell ref="I5:J5"/>
    <mergeCell ref="I6:J6"/>
    <mergeCell ref="A4:A5"/>
    <mergeCell ref="B4:B5"/>
    <mergeCell ref="C4:C5"/>
    <mergeCell ref="D4:D5"/>
    <mergeCell ref="G4:H4"/>
    <mergeCell ref="I4:J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3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53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1" t="s">
        <v>55</v>
      </c>
      <c r="B3" s="1"/>
      <c r="C3" s="1"/>
      <c r="D3" s="1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304551.68400000001</v>
      </c>
      <c r="G6" s="13"/>
      <c r="H6" s="13">
        <f>H7+H8+H9</f>
        <v>459482.98</v>
      </c>
      <c r="I6" s="58">
        <f>I7+I8+I9+H21</f>
        <v>856246.09000000008</v>
      </c>
      <c r="J6" s="88"/>
      <c r="K6" s="13"/>
      <c r="L6" s="13">
        <f>H6-I6</f>
        <v>-396763.1100000001</v>
      </c>
      <c r="M6" s="13">
        <v>508802.79</v>
      </c>
      <c r="N6" s="34">
        <f>L6+M6</f>
        <v>112039.67999999988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113</v>
      </c>
      <c r="F7" s="7">
        <f>D7*12*1100.1</f>
        <v>11353.031999999999</v>
      </c>
      <c r="G7" s="8" t="s">
        <v>126</v>
      </c>
      <c r="H7" s="8">
        <v>20554.32</v>
      </c>
      <c r="I7" s="60">
        <v>145444.22</v>
      </c>
      <c r="J7" s="88"/>
      <c r="K7" s="7">
        <f>I7/12/1100.1</f>
        <v>11.017499924249313</v>
      </c>
      <c r="L7" s="13">
        <f>H7-I7</f>
        <v>-124889.9</v>
      </c>
      <c r="M7" s="31">
        <f>M6/D6*D7</f>
        <v>18967.074096228866</v>
      </c>
      <c r="N7" s="34">
        <f>L7+M7</f>
        <v>-105922.82590377113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125</v>
      </c>
      <c r="F8" s="7">
        <f>D8*12*1100.1</f>
        <v>132012</v>
      </c>
      <c r="G8" s="8" t="s">
        <v>127</v>
      </c>
      <c r="H8" s="8">
        <v>147104.74</v>
      </c>
      <c r="I8" s="60">
        <v>204905.8</v>
      </c>
      <c r="J8" s="88"/>
      <c r="K8" s="7">
        <f>I8/12/1100.1</f>
        <v>15.521755597975943</v>
      </c>
      <c r="L8" s="13">
        <f>H8-I8</f>
        <v>-57801.06</v>
      </c>
      <c r="M8" s="31">
        <f>M7/D7*D8</f>
        <v>220547.37321196357</v>
      </c>
      <c r="N8" s="34">
        <f>L8+M8</f>
        <v>162746.31321196357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D9*12*1100.1</f>
        <v>161186.652</v>
      </c>
      <c r="G9" s="53"/>
      <c r="H9" s="76">
        <v>291823.92</v>
      </c>
      <c r="I9" s="62">
        <v>471156.07</v>
      </c>
      <c r="J9" s="89"/>
      <c r="K9" s="47">
        <f>I9/12/1100.1</f>
        <v>35.690397085113482</v>
      </c>
      <c r="L9" s="50">
        <f>H9-I9</f>
        <v>-179332.15000000002</v>
      </c>
      <c r="M9" s="50">
        <f>M6/D6*D9</f>
        <v>269288.34269180754</v>
      </c>
      <c r="N9" s="70">
        <f>L9+M9</f>
        <v>89956.192691807519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114</v>
      </c>
      <c r="F14" s="7">
        <v>1040</v>
      </c>
      <c r="G14" s="8" t="s">
        <v>114</v>
      </c>
      <c r="H14" s="8">
        <v>1040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128</v>
      </c>
      <c r="F15" s="7">
        <v>660</v>
      </c>
      <c r="G15" s="8">
        <v>0</v>
      </c>
      <c r="H15" s="8">
        <v>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129</v>
      </c>
      <c r="F16" s="7">
        <v>11700</v>
      </c>
      <c r="G16" s="8" t="s">
        <v>129</v>
      </c>
      <c r="H16" s="8">
        <v>11700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 t="s">
        <v>119</v>
      </c>
      <c r="H17" s="8">
        <v>700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130</v>
      </c>
      <c r="F19" s="7">
        <v>16000</v>
      </c>
      <c r="G19" s="8" t="s">
        <v>130</v>
      </c>
      <c r="H19" s="8">
        <v>16000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37</v>
      </c>
      <c r="F20" s="7">
        <v>5300</v>
      </c>
      <c r="G20" s="8" t="s">
        <v>37</v>
      </c>
      <c r="H20" s="8">
        <v>5300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41700</v>
      </c>
      <c r="G21" s="13">
        <f>SUM(G14:G20)</f>
        <v>0</v>
      </c>
      <c r="H21" s="13">
        <f>SUM(H14:H20)</f>
        <v>34740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6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57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56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302613.804</v>
      </c>
      <c r="G6" s="13"/>
      <c r="H6" s="13">
        <f>H7+H8+H9</f>
        <v>282474.99</v>
      </c>
      <c r="I6" s="58">
        <f>I7+I8+I9+H21</f>
        <v>831315.58000000007</v>
      </c>
      <c r="J6" s="88"/>
      <c r="K6" s="13"/>
      <c r="L6" s="13">
        <f>H6-I6</f>
        <v>-548840.59000000008</v>
      </c>
      <c r="M6" s="13">
        <v>501011.01</v>
      </c>
      <c r="N6" s="34">
        <f>L6+M6</f>
        <v>-47829.580000000075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111</v>
      </c>
      <c r="F7" s="7">
        <f>D7*12*1093.1</f>
        <v>11280.791999999999</v>
      </c>
      <c r="G7" s="8" t="s">
        <v>113</v>
      </c>
      <c r="H7" s="8">
        <v>10961.76</v>
      </c>
      <c r="I7" s="60">
        <v>143216.89000000001</v>
      </c>
      <c r="J7" s="88"/>
      <c r="K7" s="7">
        <f>I7/12/1093.1</f>
        <v>10.918251608575003</v>
      </c>
      <c r="L7" s="13">
        <f>H7-I7</f>
        <v>-132255.13</v>
      </c>
      <c r="M7" s="31">
        <f>M6/D6*D7</f>
        <v>18676.613289986999</v>
      </c>
      <c r="N7" s="34">
        <f>L7+M7</f>
        <v>-113578.51671001301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112</v>
      </c>
      <c r="F8" s="7">
        <f>D8*12*1093.1</f>
        <v>131172</v>
      </c>
      <c r="G8" s="8" t="s">
        <v>112</v>
      </c>
      <c r="H8" s="8">
        <v>115879.71</v>
      </c>
      <c r="I8" s="60">
        <v>201767.88</v>
      </c>
      <c r="J8" s="88"/>
      <c r="K8" s="7">
        <f>I8/12/1093.1</f>
        <v>15.381932119659686</v>
      </c>
      <c r="L8" s="13">
        <f>H8-I8</f>
        <v>-85888.17</v>
      </c>
      <c r="M8" s="31">
        <f>M7/D7*D8</f>
        <v>217169.92197659303</v>
      </c>
      <c r="N8" s="34">
        <f>L8+M8</f>
        <v>131281.75197659305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D9*12*1093.1</f>
        <v>160161.01199999999</v>
      </c>
      <c r="G9" s="53"/>
      <c r="H9" s="76">
        <v>155633.51999999999</v>
      </c>
      <c r="I9" s="62">
        <v>463940.81</v>
      </c>
      <c r="J9" s="89"/>
      <c r="K9" s="47">
        <f>I9/12/1093.1</f>
        <v>35.368890464428389</v>
      </c>
      <c r="L9" s="50">
        <f>H9-I9</f>
        <v>-308307.29000000004</v>
      </c>
      <c r="M9" s="50">
        <f>M6/D6*D9</f>
        <v>265164.47473342007</v>
      </c>
      <c r="N9" s="70">
        <f>L9+M9</f>
        <v>-43142.815266579972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131</v>
      </c>
      <c r="F14" s="7">
        <v>1520</v>
      </c>
      <c r="G14" s="8" t="s">
        <v>135</v>
      </c>
      <c r="H14" s="8">
        <v>800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132</v>
      </c>
      <c r="F16" s="7">
        <v>6500</v>
      </c>
      <c r="G16" s="8" t="s">
        <v>132</v>
      </c>
      <c r="H16" s="8">
        <v>6500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133</v>
      </c>
      <c r="F19" s="7">
        <v>12000</v>
      </c>
      <c r="G19" s="8" t="s">
        <v>133</v>
      </c>
      <c r="H19" s="8">
        <v>12000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134</v>
      </c>
      <c r="F20" s="7">
        <v>2650</v>
      </c>
      <c r="G20" s="8" t="s">
        <v>134</v>
      </c>
      <c r="H20" s="8">
        <v>2650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30110</v>
      </c>
      <c r="G21" s="13">
        <f>SUM(G14:G20)</f>
        <v>0</v>
      </c>
      <c r="H21" s="13">
        <f>SUM(H14:H20)</f>
        <v>22390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58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59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271109.41200000001</v>
      </c>
      <c r="G6" s="13"/>
      <c r="H6" s="13">
        <f>H7+H8+H9</f>
        <v>266153.21999999997</v>
      </c>
      <c r="I6" s="58">
        <f>I7+I8+I9+H21</f>
        <v>755110.13</v>
      </c>
      <c r="J6" s="88"/>
      <c r="K6" s="13"/>
      <c r="L6" s="13">
        <f>H6-I6</f>
        <v>-488956.91000000003</v>
      </c>
      <c r="M6" s="13">
        <v>446147.76</v>
      </c>
      <c r="N6" s="34">
        <f>L6+M6</f>
        <v>-42809.150000000023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136</v>
      </c>
      <c r="F7" s="7">
        <f>D7*12*979.3</f>
        <v>10106.376</v>
      </c>
      <c r="G7" s="8" t="s">
        <v>136</v>
      </c>
      <c r="H7" s="8">
        <v>10043.280000000001</v>
      </c>
      <c r="I7" s="60">
        <v>127533.92</v>
      </c>
      <c r="J7" s="88"/>
      <c r="K7" s="7">
        <f>I7/12/979.3</f>
        <v>10.852472854760203</v>
      </c>
      <c r="L7" s="13">
        <f>H7-I7</f>
        <v>-117490.64</v>
      </c>
      <c r="M7" s="31">
        <f>M6/D6*D7</f>
        <v>16631.429284785434</v>
      </c>
      <c r="N7" s="34">
        <f>L7+M7</f>
        <v>-100859.21071521456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137</v>
      </c>
      <c r="F8" s="7">
        <f>D8*12*979.3</f>
        <v>117516</v>
      </c>
      <c r="G8" s="8" t="s">
        <v>138</v>
      </c>
      <c r="H8" s="8">
        <v>113516.82</v>
      </c>
      <c r="I8" s="60">
        <v>179673.27</v>
      </c>
      <c r="J8" s="88"/>
      <c r="K8" s="7">
        <f>I8/12/979.3</f>
        <v>15.289260185847034</v>
      </c>
      <c r="L8" s="13">
        <f>H8-I8</f>
        <v>-66156.449999999983</v>
      </c>
      <c r="M8" s="31">
        <f>M7/D7*D8</f>
        <v>193388.71261378413</v>
      </c>
      <c r="N8" s="34">
        <f>L8+M8</f>
        <v>127232.26261378414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D9*12*979.3</f>
        <v>143487.03599999999</v>
      </c>
      <c r="G9" s="53"/>
      <c r="H9" s="76">
        <v>142593.12</v>
      </c>
      <c r="I9" s="62">
        <v>413136.94</v>
      </c>
      <c r="J9" s="89"/>
      <c r="K9" s="47">
        <f>I9/12/979.3</f>
        <v>35.155803465060075</v>
      </c>
      <c r="L9" s="50">
        <f>H9-I9</f>
        <v>-270543.82</v>
      </c>
      <c r="M9" s="50">
        <f>M6/D6*D9</f>
        <v>236127.61810143042</v>
      </c>
      <c r="N9" s="70">
        <f>L9+M9</f>
        <v>-34416.20189856959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139</v>
      </c>
      <c r="F14" s="7">
        <v>600</v>
      </c>
      <c r="G14" s="8" t="s">
        <v>140</v>
      </c>
      <c r="H14" s="8">
        <v>1200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106</v>
      </c>
      <c r="F15" s="7">
        <v>880</v>
      </c>
      <c r="G15" s="8" t="s">
        <v>106</v>
      </c>
      <c r="H15" s="8">
        <v>880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>
        <v>0</v>
      </c>
      <c r="F16" s="7">
        <v>0</v>
      </c>
      <c r="G16" s="8">
        <v>0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37</v>
      </c>
      <c r="F19" s="7">
        <v>4000</v>
      </c>
      <c r="G19" s="8" t="s">
        <v>37</v>
      </c>
      <c r="H19" s="8">
        <v>22086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109</v>
      </c>
      <c r="F20" s="7">
        <v>10600</v>
      </c>
      <c r="G20" s="8" t="s">
        <v>109</v>
      </c>
      <c r="H20" s="8">
        <v>10600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23080</v>
      </c>
      <c r="G21" s="13">
        <f>SUM(G14:G20)</f>
        <v>0</v>
      </c>
      <c r="H21" s="13">
        <f>SUM(H14:H20)</f>
        <v>34766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topLeftCell="A2"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60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61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303029.06400000001</v>
      </c>
      <c r="G6" s="13"/>
      <c r="H6" s="13">
        <f>H7+H8+H9</f>
        <v>314800.36</v>
      </c>
      <c r="I6" s="58">
        <f>I7+I8+I9+H21</f>
        <v>856685.64999999991</v>
      </c>
      <c r="J6" s="88"/>
      <c r="K6" s="13"/>
      <c r="L6" s="13">
        <f>H6-I6</f>
        <v>-541885.28999999992</v>
      </c>
      <c r="M6" s="13">
        <v>501927.69</v>
      </c>
      <c r="N6" s="34">
        <f>L6+M6</f>
        <v>-39957.599999999919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141</v>
      </c>
      <c r="F7" s="7">
        <f>D7*12*1094.6</f>
        <v>11296.271999999999</v>
      </c>
      <c r="G7" s="8" t="s">
        <v>113</v>
      </c>
      <c r="H7" s="8">
        <v>11764.05</v>
      </c>
      <c r="I7" s="60">
        <v>143478.93</v>
      </c>
      <c r="J7" s="88"/>
      <c r="K7" s="7">
        <f>I7/12/1094.6</f>
        <v>10.923239082769962</v>
      </c>
      <c r="L7" s="13">
        <f>H7-I7</f>
        <v>-131714.88</v>
      </c>
      <c r="M7" s="31">
        <f>M6/D6*D7</f>
        <v>18710.785149544863</v>
      </c>
      <c r="N7" s="34">
        <f>L7+M7</f>
        <v>-113004.09485045515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142</v>
      </c>
      <c r="F8" s="7">
        <f>D8*12*1094.6</f>
        <v>131352</v>
      </c>
      <c r="G8" s="8" t="s">
        <v>142</v>
      </c>
      <c r="H8" s="8">
        <v>136018</v>
      </c>
      <c r="I8" s="60">
        <v>202137.05</v>
      </c>
      <c r="J8" s="88"/>
      <c r="K8" s="7">
        <f>I8/12/1094.6</f>
        <v>15.388958675924234</v>
      </c>
      <c r="L8" s="13">
        <f>H8-I8</f>
        <v>-66119.049999999988</v>
      </c>
      <c r="M8" s="31">
        <f>M7/D7*D8</f>
        <v>217567.26918075423</v>
      </c>
      <c r="N8" s="34">
        <f>L8+M8</f>
        <v>151448.21918075424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D9*12*1094.6</f>
        <v>160380.79199999999</v>
      </c>
      <c r="G9" s="53"/>
      <c r="H9" s="76">
        <v>167018.31</v>
      </c>
      <c r="I9" s="62">
        <v>464789.67</v>
      </c>
      <c r="J9" s="89"/>
      <c r="K9" s="47">
        <f>I9/12/1094.6</f>
        <v>35.385047049150373</v>
      </c>
      <c r="L9" s="50">
        <f>H9-I9</f>
        <v>-297771.36</v>
      </c>
      <c r="M9" s="50">
        <f>M6/D6*D9</f>
        <v>265649.63566970092</v>
      </c>
      <c r="N9" s="70">
        <f>L9+M9</f>
        <v>-32121.724330299068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5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8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143</v>
      </c>
      <c r="F14" s="7">
        <v>1120</v>
      </c>
      <c r="G14" s="35" t="s">
        <v>143</v>
      </c>
      <c r="H14" s="8">
        <v>1120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35" t="s">
        <v>128</v>
      </c>
      <c r="H15" s="8">
        <v>660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144</v>
      </c>
      <c r="F16" s="7">
        <v>5200</v>
      </c>
      <c r="G16" s="35" t="s">
        <v>144</v>
      </c>
      <c r="H16" s="8">
        <v>5200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35">
        <v>0</v>
      </c>
      <c r="H17" s="8">
        <v>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35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145</v>
      </c>
      <c r="F19" s="7">
        <v>34000</v>
      </c>
      <c r="G19" s="35" t="s">
        <v>145</v>
      </c>
      <c r="H19" s="8">
        <v>34000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37</v>
      </c>
      <c r="F20" s="7">
        <v>5300</v>
      </c>
      <c r="G20" s="35" t="s">
        <v>37</v>
      </c>
      <c r="H20" s="8">
        <v>5300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53060</v>
      </c>
      <c r="G21" s="13">
        <f>SUM(G14:G20)</f>
        <v>0</v>
      </c>
      <c r="H21" s="13">
        <f>SUM(H14:H20)</f>
        <v>46280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63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62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305271.46799999999</v>
      </c>
      <c r="G6" s="13"/>
      <c r="H6" s="13">
        <f>H7+H8+H9</f>
        <v>284671.03999999998</v>
      </c>
      <c r="I6" s="58">
        <f>I7+I8+I9+H21</f>
        <v>854765.84000000008</v>
      </c>
      <c r="J6" s="88"/>
      <c r="K6" s="13"/>
      <c r="L6" s="13">
        <f>H6-I6</f>
        <v>-570094.80000000005</v>
      </c>
      <c r="M6" s="13">
        <v>505136.07</v>
      </c>
      <c r="N6" s="34">
        <f>L6+M6</f>
        <v>-64958.73000000004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146</v>
      </c>
      <c r="F7" s="7">
        <f>D7*12*1102.7</f>
        <v>11379.864000000001</v>
      </c>
      <c r="G7" s="8" t="s">
        <v>146</v>
      </c>
      <c r="H7" s="8">
        <v>11366.07</v>
      </c>
      <c r="I7" s="60">
        <v>144396.06</v>
      </c>
      <c r="J7" s="88"/>
      <c r="K7" s="7">
        <f>I7/12/1102.7</f>
        <v>10.91231069193797</v>
      </c>
      <c r="L7" s="13">
        <f>H7-I7</f>
        <v>-133029.99</v>
      </c>
      <c r="M7" s="31">
        <f>M6/D6*D7</f>
        <v>18830.386657997398</v>
      </c>
      <c r="N7" s="34">
        <f>L7+M7</f>
        <v>-114199.60334200259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147</v>
      </c>
      <c r="F8" s="7">
        <f>D8*12*1102.7</f>
        <v>132324</v>
      </c>
      <c r="G8" s="8" t="s">
        <v>148</v>
      </c>
      <c r="H8" s="8">
        <v>111934.11</v>
      </c>
      <c r="I8" s="60">
        <v>203429.13</v>
      </c>
      <c r="J8" s="88"/>
      <c r="K8" s="7">
        <f>I8/12/1102.7</f>
        <v>15.373562619026028</v>
      </c>
      <c r="L8" s="13">
        <f>H8-I8</f>
        <v>-91495.02</v>
      </c>
      <c r="M8" s="31">
        <f>M7/D7*D8</f>
        <v>218957.98439531861</v>
      </c>
      <c r="N8" s="34">
        <f>L8+M8</f>
        <v>127462.9643953186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D9*12*1102.7</f>
        <v>161567.60400000002</v>
      </c>
      <c r="G9" s="53"/>
      <c r="H9" s="76">
        <v>161370.85999999999</v>
      </c>
      <c r="I9" s="62">
        <v>467760.65</v>
      </c>
      <c r="J9" s="89"/>
      <c r="K9" s="47">
        <f>I9/12/1102.7</f>
        <v>35.349645566941753</v>
      </c>
      <c r="L9" s="50">
        <f>H9-I9</f>
        <v>-306389.79000000004</v>
      </c>
      <c r="M9" s="50">
        <f>M6/D6*D9</f>
        <v>267347.69894668402</v>
      </c>
      <c r="N9" s="70">
        <f>L9+M9</f>
        <v>-39042.09105331602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149</v>
      </c>
      <c r="F14" s="7">
        <v>800</v>
      </c>
      <c r="G14" s="8" t="s">
        <v>152</v>
      </c>
      <c r="H14" s="8">
        <v>1600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106</v>
      </c>
      <c r="F15" s="7">
        <v>880</v>
      </c>
      <c r="G15" s="8" t="s">
        <v>106</v>
      </c>
      <c r="H15" s="8">
        <v>880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>
        <v>0</v>
      </c>
      <c r="F16" s="7">
        <v>0</v>
      </c>
      <c r="G16" s="8">
        <v>0</v>
      </c>
      <c r="H16" s="8">
        <v>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109</v>
      </c>
      <c r="F17" s="7">
        <v>7000</v>
      </c>
      <c r="G17" s="8" t="s">
        <v>37</v>
      </c>
      <c r="H17" s="8">
        <v>3500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150</v>
      </c>
      <c r="F19" s="7">
        <v>20000</v>
      </c>
      <c r="G19" s="8" t="s">
        <v>133</v>
      </c>
      <c r="H19" s="8">
        <v>12000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151</v>
      </c>
      <c r="F20" s="7">
        <v>42400</v>
      </c>
      <c r="G20" s="8" t="s">
        <v>130</v>
      </c>
      <c r="H20" s="8">
        <v>21200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71080</v>
      </c>
      <c r="G21" s="13">
        <f>SUM(G14:G20)</f>
        <v>0</v>
      </c>
      <c r="H21" s="13">
        <f>SUM(H14:H20)</f>
        <v>39180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A2:G2"/>
    <mergeCell ref="I5:J5"/>
    <mergeCell ref="I6:J6"/>
    <mergeCell ref="A4:A5"/>
    <mergeCell ref="B4:B5"/>
    <mergeCell ref="C4:C5"/>
    <mergeCell ref="D4:D5"/>
    <mergeCell ref="G4:H4"/>
    <mergeCell ref="I4:J4"/>
    <mergeCell ref="A3:D3"/>
    <mergeCell ref="I9:J11"/>
    <mergeCell ref="K4:K5"/>
    <mergeCell ref="L4:L5"/>
    <mergeCell ref="M4:M5"/>
    <mergeCell ref="N4:N5"/>
    <mergeCell ref="I7:J7"/>
    <mergeCell ref="I8:J8"/>
    <mergeCell ref="L9:L11"/>
    <mergeCell ref="M9:M11"/>
    <mergeCell ref="N9:N11"/>
    <mergeCell ref="A12:N12"/>
    <mergeCell ref="K9:K11"/>
    <mergeCell ref="D9:D11"/>
    <mergeCell ref="E9:E11"/>
    <mergeCell ref="F9:F11"/>
    <mergeCell ref="G9:G11"/>
    <mergeCell ref="H9:H11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N24"/>
  <sheetViews>
    <sheetView workbookViewId="0">
      <selection activeCell="I6" sqref="I6:J6"/>
    </sheetView>
  </sheetViews>
  <sheetFormatPr defaultRowHeight="12.75" x14ac:dyDescent="0.2"/>
  <cols>
    <col min="1" max="1" width="36.5703125" style="1" customWidth="1"/>
    <col min="2" max="2" width="29" customWidth="1"/>
    <col min="3" max="3" width="20.28515625" customWidth="1"/>
    <col min="5" max="5" width="11.28515625" customWidth="1"/>
    <col min="6" max="6" width="12.42578125" style="27" customWidth="1"/>
    <col min="7" max="7" width="7.7109375" customWidth="1"/>
    <col min="8" max="8" width="10" customWidth="1"/>
    <col min="10" max="10" width="10" customWidth="1"/>
    <col min="12" max="12" width="10.5703125" style="32" bestFit="1" customWidth="1"/>
    <col min="13" max="13" width="10" style="30" bestFit="1" customWidth="1"/>
    <col min="14" max="14" width="13" style="33" customWidth="1"/>
  </cols>
  <sheetData>
    <row r="2" spans="1:14" x14ac:dyDescent="0.2">
      <c r="A2" s="94" t="s">
        <v>64</v>
      </c>
      <c r="B2" s="94"/>
      <c r="C2" s="94"/>
      <c r="D2" s="94"/>
      <c r="E2" s="94"/>
      <c r="F2" s="94"/>
      <c r="G2" s="94"/>
      <c r="H2" s="1"/>
      <c r="I2" s="1"/>
      <c r="J2" s="1"/>
      <c r="K2" s="1"/>
    </row>
    <row r="3" spans="1:14" x14ac:dyDescent="0.2">
      <c r="A3" s="95" t="s">
        <v>65</v>
      </c>
      <c r="B3" s="95"/>
      <c r="C3" s="95"/>
      <c r="D3" s="95"/>
      <c r="E3" s="1"/>
      <c r="F3" s="22"/>
      <c r="G3" s="1"/>
      <c r="H3" s="1"/>
      <c r="I3" s="1"/>
      <c r="J3" s="1"/>
      <c r="K3" s="1"/>
    </row>
    <row r="4" spans="1:14" ht="48" customHeight="1" x14ac:dyDescent="0.2">
      <c r="A4" s="41" t="s">
        <v>0</v>
      </c>
      <c r="B4" s="41" t="s">
        <v>1</v>
      </c>
      <c r="C4" s="41" t="s">
        <v>2</v>
      </c>
      <c r="D4" s="43" t="s">
        <v>3</v>
      </c>
      <c r="E4" s="2" t="s">
        <v>4</v>
      </c>
      <c r="F4" s="23"/>
      <c r="G4" s="45" t="s">
        <v>5</v>
      </c>
      <c r="H4" s="46"/>
      <c r="I4" s="45" t="s">
        <v>47</v>
      </c>
      <c r="J4" s="46"/>
      <c r="K4" s="43" t="s">
        <v>6</v>
      </c>
      <c r="L4" s="79" t="s">
        <v>45</v>
      </c>
      <c r="M4" s="81" t="s">
        <v>44</v>
      </c>
      <c r="N4" s="83" t="s">
        <v>46</v>
      </c>
    </row>
    <row r="5" spans="1:14" ht="60" x14ac:dyDescent="0.2">
      <c r="A5" s="42"/>
      <c r="B5" s="42"/>
      <c r="C5" s="42"/>
      <c r="D5" s="44"/>
      <c r="E5" s="2" t="s">
        <v>7</v>
      </c>
      <c r="F5" s="23" t="s">
        <v>8</v>
      </c>
      <c r="G5" s="2" t="s">
        <v>7</v>
      </c>
      <c r="H5" s="2" t="s">
        <v>8</v>
      </c>
      <c r="I5" s="56" t="s">
        <v>8</v>
      </c>
      <c r="J5" s="87"/>
      <c r="K5" s="44"/>
      <c r="L5" s="80"/>
      <c r="M5" s="82"/>
      <c r="N5" s="84"/>
    </row>
    <row r="6" spans="1:14" x14ac:dyDescent="0.2">
      <c r="A6" s="3" t="s">
        <v>9</v>
      </c>
      <c r="B6" s="4"/>
      <c r="C6" s="8" t="s">
        <v>43</v>
      </c>
      <c r="D6" s="13">
        <f>D7+D8+D9</f>
        <v>23.07</v>
      </c>
      <c r="E6" s="13"/>
      <c r="F6" s="13">
        <f>F7+F8+F9</f>
        <v>308039.86800000002</v>
      </c>
      <c r="G6" s="13"/>
      <c r="H6" s="13">
        <f>H7+H8+H9</f>
        <v>287250.12</v>
      </c>
      <c r="I6" s="58">
        <f>I7+I8+I9+H21</f>
        <v>895800.14999999991</v>
      </c>
      <c r="J6" s="88"/>
      <c r="K6" s="13"/>
      <c r="L6" s="13">
        <f>H6-I6</f>
        <v>-608550.02999999991</v>
      </c>
      <c r="M6" s="13">
        <v>509994.47</v>
      </c>
      <c r="N6" s="34">
        <f>L6+M6</f>
        <v>-98555.559999999939</v>
      </c>
    </row>
    <row r="7" spans="1:14" ht="24" x14ac:dyDescent="0.2">
      <c r="A7" s="20" t="s">
        <v>10</v>
      </c>
      <c r="B7" s="6" t="s">
        <v>11</v>
      </c>
      <c r="C7" s="29" t="s">
        <v>12</v>
      </c>
      <c r="D7" s="7">
        <v>0.86</v>
      </c>
      <c r="E7" s="8" t="s">
        <v>146</v>
      </c>
      <c r="F7" s="7">
        <f>D7*12*1112.7</f>
        <v>11483.064</v>
      </c>
      <c r="G7" s="8" t="s">
        <v>153</v>
      </c>
      <c r="H7" s="8">
        <v>10782.24</v>
      </c>
      <c r="I7" s="60">
        <v>145784.85999999999</v>
      </c>
      <c r="J7" s="88"/>
      <c r="K7" s="7">
        <f>I7/12/1112.7</f>
        <v>10.918251400497288</v>
      </c>
      <c r="L7" s="13">
        <f>H7-I7</f>
        <v>-135002.62</v>
      </c>
      <c r="M7" s="31">
        <f>M6/D6*D7</f>
        <v>19011.497364542694</v>
      </c>
      <c r="N7" s="34">
        <f>L7+M7</f>
        <v>-115991.1226354573</v>
      </c>
    </row>
    <row r="8" spans="1:14" ht="36" x14ac:dyDescent="0.2">
      <c r="A8" s="20" t="s">
        <v>41</v>
      </c>
      <c r="B8" s="6" t="s">
        <v>42</v>
      </c>
      <c r="C8" s="29" t="s">
        <v>12</v>
      </c>
      <c r="D8" s="7">
        <v>10</v>
      </c>
      <c r="E8" s="8" t="s">
        <v>142</v>
      </c>
      <c r="F8" s="7">
        <f>D8*12*1112.7</f>
        <v>133524</v>
      </c>
      <c r="G8" s="8" t="s">
        <v>142</v>
      </c>
      <c r="H8" s="8">
        <v>123384</v>
      </c>
      <c r="I8" s="60">
        <v>205385.71</v>
      </c>
      <c r="J8" s="88"/>
      <c r="K8" s="7">
        <f>I8/12/1112.7</f>
        <v>15.381932087115425</v>
      </c>
      <c r="L8" s="13">
        <f>H8-I8</f>
        <v>-82001.709999999992</v>
      </c>
      <c r="M8" s="31">
        <f>M7/D7*D8</f>
        <v>221063.92284351971</v>
      </c>
      <c r="N8" s="34">
        <f>L8+M8</f>
        <v>139062.21284351972</v>
      </c>
    </row>
    <row r="9" spans="1:14" ht="108" x14ac:dyDescent="0.2">
      <c r="A9" s="21" t="s">
        <v>13</v>
      </c>
      <c r="B9" s="6" t="s">
        <v>14</v>
      </c>
      <c r="C9" s="29" t="s">
        <v>15</v>
      </c>
      <c r="D9" s="47">
        <v>12.21</v>
      </c>
      <c r="E9" s="47"/>
      <c r="F9" s="47">
        <f>D9*12*1112.7</f>
        <v>163032.804</v>
      </c>
      <c r="G9" s="53"/>
      <c r="H9" s="76">
        <v>153083.88</v>
      </c>
      <c r="I9" s="62">
        <v>472259.58</v>
      </c>
      <c r="J9" s="89"/>
      <c r="K9" s="47">
        <f>I9/12/1112.7</f>
        <v>35.368890985890182</v>
      </c>
      <c r="L9" s="50">
        <f>H9-I9</f>
        <v>-319175.7</v>
      </c>
      <c r="M9" s="50">
        <f>M6/D6*D9</f>
        <v>269919.04979193758</v>
      </c>
      <c r="N9" s="70">
        <f>L9+M9</f>
        <v>-49256.650208062434</v>
      </c>
    </row>
    <row r="10" spans="1:14" ht="120" x14ac:dyDescent="0.2">
      <c r="A10" s="20" t="s">
        <v>16</v>
      </c>
      <c r="B10" s="6" t="s">
        <v>17</v>
      </c>
      <c r="C10" s="29" t="s">
        <v>15</v>
      </c>
      <c r="D10" s="85"/>
      <c r="E10" s="85"/>
      <c r="F10" s="85"/>
      <c r="G10" s="54"/>
      <c r="H10" s="85"/>
      <c r="I10" s="90"/>
      <c r="J10" s="91"/>
      <c r="K10" s="85"/>
      <c r="L10" s="51"/>
      <c r="M10" s="68"/>
      <c r="N10" s="71"/>
    </row>
    <row r="11" spans="1:14" ht="140.25" x14ac:dyDescent="0.2">
      <c r="A11" s="19" t="s">
        <v>18</v>
      </c>
      <c r="B11" s="10" t="s">
        <v>52</v>
      </c>
      <c r="C11" s="28" t="s">
        <v>15</v>
      </c>
      <c r="D11" s="86"/>
      <c r="E11" s="86"/>
      <c r="F11" s="86"/>
      <c r="G11" s="55"/>
      <c r="H11" s="86"/>
      <c r="I11" s="92"/>
      <c r="J11" s="93"/>
      <c r="K11" s="86"/>
      <c r="L11" s="52"/>
      <c r="M11" s="69"/>
      <c r="N11" s="72"/>
    </row>
    <row r="12" spans="1:14" ht="29.25" customHeight="1" x14ac:dyDescent="0.2">
      <c r="A12" s="73"/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</row>
    <row r="13" spans="1:14" x14ac:dyDescent="0.2">
      <c r="A13" s="3" t="s">
        <v>20</v>
      </c>
      <c r="B13" s="4"/>
      <c r="C13" s="11"/>
      <c r="D13" s="12"/>
      <c r="E13" s="5"/>
      <c r="F13" s="7">
        <f>D13*12*3388.6</f>
        <v>0</v>
      </c>
      <c r="G13" s="5"/>
      <c r="H13" s="40"/>
      <c r="I13" s="15"/>
      <c r="J13" s="15"/>
      <c r="K13" s="36"/>
      <c r="L13" s="37"/>
      <c r="M13" s="38"/>
      <c r="N13" s="39"/>
    </row>
    <row r="14" spans="1:14" ht="36" x14ac:dyDescent="0.2">
      <c r="A14" s="2" t="s">
        <v>21</v>
      </c>
      <c r="B14" s="8"/>
      <c r="C14" s="6" t="s">
        <v>22</v>
      </c>
      <c r="D14" s="7">
        <v>400</v>
      </c>
      <c r="E14" s="8" t="s">
        <v>154</v>
      </c>
      <c r="F14" s="7">
        <v>1080</v>
      </c>
      <c r="G14" s="8" t="s">
        <v>154</v>
      </c>
      <c r="H14" s="8">
        <v>1080</v>
      </c>
      <c r="I14" s="15"/>
      <c r="J14" s="15"/>
      <c r="K14" s="36"/>
      <c r="L14" s="37"/>
      <c r="M14" s="38"/>
      <c r="N14" s="39"/>
    </row>
    <row r="15" spans="1:14" ht="36" x14ac:dyDescent="0.2">
      <c r="A15" s="2" t="s">
        <v>25</v>
      </c>
      <c r="B15" s="6" t="s">
        <v>26</v>
      </c>
      <c r="C15" s="6" t="s">
        <v>27</v>
      </c>
      <c r="D15" s="7">
        <v>220</v>
      </c>
      <c r="E15" s="8" t="s">
        <v>118</v>
      </c>
      <c r="F15" s="7">
        <v>440</v>
      </c>
      <c r="G15" s="8" t="s">
        <v>118</v>
      </c>
      <c r="H15" s="8">
        <v>440</v>
      </c>
      <c r="I15" s="15"/>
      <c r="J15" s="15"/>
      <c r="K15" s="36"/>
      <c r="L15" s="37"/>
      <c r="M15" s="38"/>
      <c r="N15" s="39"/>
    </row>
    <row r="16" spans="1:14" ht="24" x14ac:dyDescent="0.2">
      <c r="A16" s="9" t="s">
        <v>28</v>
      </c>
      <c r="B16" s="6" t="s">
        <v>29</v>
      </c>
      <c r="C16" s="6" t="s">
        <v>30</v>
      </c>
      <c r="D16" s="7">
        <v>650</v>
      </c>
      <c r="E16" s="8" t="s">
        <v>132</v>
      </c>
      <c r="F16" s="7">
        <v>6500</v>
      </c>
      <c r="G16" s="8" t="s">
        <v>132</v>
      </c>
      <c r="H16" s="8">
        <v>6500</v>
      </c>
      <c r="I16" s="15"/>
      <c r="J16" s="15"/>
      <c r="K16" s="36"/>
      <c r="L16" s="37"/>
      <c r="M16" s="38"/>
      <c r="N16" s="39"/>
    </row>
    <row r="17" spans="1:14" ht="36" x14ac:dyDescent="0.2">
      <c r="A17" s="2" t="s">
        <v>31</v>
      </c>
      <c r="B17" s="6" t="s">
        <v>32</v>
      </c>
      <c r="C17" s="6" t="s">
        <v>30</v>
      </c>
      <c r="D17" s="7">
        <v>350</v>
      </c>
      <c r="E17" s="8" t="s">
        <v>155</v>
      </c>
      <c r="F17" s="7">
        <v>5250</v>
      </c>
      <c r="G17" s="8" t="s">
        <v>134</v>
      </c>
      <c r="H17" s="8">
        <v>1750</v>
      </c>
      <c r="I17" s="15"/>
      <c r="J17" s="15"/>
      <c r="K17" s="36"/>
      <c r="L17" s="37"/>
      <c r="M17" s="38"/>
      <c r="N17" s="39"/>
    </row>
    <row r="18" spans="1:14" ht="60" x14ac:dyDescent="0.2">
      <c r="A18" s="2" t="s">
        <v>34</v>
      </c>
      <c r="B18" s="6" t="s">
        <v>35</v>
      </c>
      <c r="C18" s="6" t="s">
        <v>22</v>
      </c>
      <c r="D18" s="7">
        <v>400</v>
      </c>
      <c r="E18" s="8">
        <v>0</v>
      </c>
      <c r="F18" s="7">
        <v>0</v>
      </c>
      <c r="G18" s="8">
        <v>0</v>
      </c>
      <c r="H18" s="8">
        <v>0</v>
      </c>
      <c r="I18" s="15"/>
      <c r="J18" s="15"/>
      <c r="K18" s="36"/>
      <c r="L18" s="37"/>
      <c r="M18" s="38"/>
      <c r="N18" s="39"/>
    </row>
    <row r="19" spans="1:14" ht="60" x14ac:dyDescent="0.2">
      <c r="A19" s="2" t="s">
        <v>36</v>
      </c>
      <c r="B19" s="6" t="s">
        <v>35</v>
      </c>
      <c r="C19" s="6" t="s">
        <v>22</v>
      </c>
      <c r="D19" s="7">
        <v>400</v>
      </c>
      <c r="E19" s="8" t="s">
        <v>156</v>
      </c>
      <c r="F19" s="7">
        <v>52000</v>
      </c>
      <c r="G19" s="8" t="s">
        <v>156</v>
      </c>
      <c r="H19" s="8">
        <v>52000</v>
      </c>
      <c r="I19" s="15"/>
      <c r="J19" s="15"/>
      <c r="K19" s="36"/>
      <c r="L19" s="37"/>
      <c r="M19" s="38"/>
      <c r="N19" s="39"/>
    </row>
    <row r="20" spans="1:14" ht="60" x14ac:dyDescent="0.2">
      <c r="A20" s="2" t="s">
        <v>38</v>
      </c>
      <c r="B20" s="6" t="s">
        <v>35</v>
      </c>
      <c r="C20" s="6" t="s">
        <v>22</v>
      </c>
      <c r="D20" s="7">
        <v>530</v>
      </c>
      <c r="E20" s="8" t="s">
        <v>157</v>
      </c>
      <c r="F20" s="7">
        <v>10600</v>
      </c>
      <c r="G20" s="8" t="s">
        <v>109</v>
      </c>
      <c r="H20" s="8">
        <v>10600</v>
      </c>
      <c r="I20" s="15"/>
      <c r="J20" s="15"/>
      <c r="K20" s="36"/>
      <c r="L20" s="37"/>
      <c r="M20" s="38"/>
      <c r="N20" s="39"/>
    </row>
    <row r="21" spans="1:14" x14ac:dyDescent="0.2">
      <c r="A21" s="9" t="s">
        <v>39</v>
      </c>
      <c r="B21" s="8"/>
      <c r="C21" s="8"/>
      <c r="D21" s="13">
        <f>SUM(D14:D20)</f>
        <v>2950</v>
      </c>
      <c r="E21" s="13">
        <f>SUM(E14:E20)</f>
        <v>0</v>
      </c>
      <c r="F21" s="13">
        <f>SUM(F14:F20)</f>
        <v>75870</v>
      </c>
      <c r="G21" s="13">
        <f>SUM(G14:G20)</f>
        <v>0</v>
      </c>
      <c r="H21" s="13">
        <f>SUM(H14:H20)</f>
        <v>72370</v>
      </c>
      <c r="I21" s="14"/>
      <c r="J21" s="14"/>
      <c r="K21" s="16"/>
      <c r="L21" s="37"/>
      <c r="M21" s="38"/>
      <c r="N21" s="39"/>
    </row>
    <row r="22" spans="1:14" x14ac:dyDescent="0.2">
      <c r="A22" s="14"/>
      <c r="B22" s="15"/>
      <c r="C22" s="15"/>
      <c r="D22" s="16"/>
      <c r="E22" s="14"/>
      <c r="F22" s="24"/>
      <c r="G22" s="14"/>
      <c r="H22" s="14"/>
      <c r="I22" s="14"/>
      <c r="J22" s="14"/>
      <c r="K22" s="14"/>
    </row>
    <row r="23" spans="1:14" x14ac:dyDescent="0.2">
      <c r="A23" s="17"/>
      <c r="B23" s="17"/>
      <c r="C23" s="17"/>
      <c r="D23" s="17"/>
      <c r="E23" s="17"/>
      <c r="F23" s="25"/>
      <c r="G23" s="17"/>
      <c r="H23" s="17"/>
      <c r="I23" s="17"/>
      <c r="J23" s="17"/>
      <c r="K23" s="17"/>
    </row>
    <row r="24" spans="1:14" x14ac:dyDescent="0.2">
      <c r="A24" s="18"/>
      <c r="B24" s="18"/>
      <c r="C24" s="18"/>
      <c r="D24" s="18"/>
      <c r="E24" s="18"/>
      <c r="F24" s="26"/>
      <c r="G24" s="18"/>
      <c r="H24" s="18"/>
      <c r="I24" s="18"/>
      <c r="J24" s="18"/>
      <c r="K24" s="18"/>
    </row>
  </sheetData>
  <mergeCells count="27">
    <mergeCell ref="F9:F11"/>
    <mergeCell ref="M4:M5"/>
    <mergeCell ref="L9:L11"/>
    <mergeCell ref="M9:M11"/>
    <mergeCell ref="N9:N11"/>
    <mergeCell ref="A12:N12"/>
    <mergeCell ref="K9:K11"/>
    <mergeCell ref="I7:J7"/>
    <mergeCell ref="I8:J8"/>
    <mergeCell ref="D9:D11"/>
    <mergeCell ref="E9:E11"/>
    <mergeCell ref="I4:J4"/>
    <mergeCell ref="G9:G11"/>
    <mergeCell ref="H9:H11"/>
    <mergeCell ref="I9:J11"/>
    <mergeCell ref="K4:K5"/>
    <mergeCell ref="L4:L5"/>
    <mergeCell ref="A3:D3"/>
    <mergeCell ref="N4:N5"/>
    <mergeCell ref="A2:G2"/>
    <mergeCell ref="I5:J5"/>
    <mergeCell ref="I6:J6"/>
    <mergeCell ref="A4:A5"/>
    <mergeCell ref="B4:B5"/>
    <mergeCell ref="C4:C5"/>
    <mergeCell ref="D4:D5"/>
    <mergeCell ref="G4:H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Горняцкая д.3-а</vt:lpstr>
      <vt:lpstr>Горняцкая д.4</vt:lpstr>
      <vt:lpstr>Горняцкая д.5-а</vt:lpstr>
      <vt:lpstr>Горняцкая д.6</vt:lpstr>
      <vt:lpstr>Клубная д. 1</vt:lpstr>
      <vt:lpstr>Клубная д.2</vt:lpstr>
      <vt:lpstr>Клубная д.3</vt:lpstr>
      <vt:lpstr>Клубная д.8</vt:lpstr>
      <vt:lpstr>Клубная д.9</vt:lpstr>
      <vt:lpstr>Клубная д.15</vt:lpstr>
      <vt:lpstr>Клубная д.16</vt:lpstr>
      <vt:lpstr>Клубная д.17</vt:lpstr>
      <vt:lpstr>Клубная д.18</vt:lpstr>
      <vt:lpstr>Клубная д.25</vt:lpstr>
      <vt:lpstr>Клубная д.28</vt:lpstr>
      <vt:lpstr>Школьная д.2</vt:lpstr>
      <vt:lpstr>Новая д.1</vt:lpstr>
      <vt:lpstr>Новая д.4</vt:lpstr>
      <vt:lpstr>Новая д.5</vt:lpstr>
      <vt:lpstr>Новая д. 7</vt:lpstr>
      <vt:lpstr>Новая д.8</vt:lpstr>
      <vt:lpstr>Новая д.9</vt:lpstr>
      <vt:lpstr>Новая д.10</vt:lpstr>
      <vt:lpstr>Новая д.11</vt:lpstr>
      <vt:lpstr>Новая д.16 а)</vt:lpstr>
      <vt:lpstr>Новая д.31</vt:lpstr>
      <vt:lpstr>Новая д.34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Смоленцева Елена Викторовна</dc:creator>
  <cp:lastModifiedBy>Смоленцева Елена Викторовна</cp:lastModifiedBy>
  <cp:lastPrinted>2015-03-26T02:46:48Z</cp:lastPrinted>
  <dcterms:created xsi:type="dcterms:W3CDTF">2015-03-25T07:46:20Z</dcterms:created>
  <dcterms:modified xsi:type="dcterms:W3CDTF">2015-03-27T02:10:23Z</dcterms:modified>
</cp:coreProperties>
</file>